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60087\Downloads\"/>
    </mc:Choice>
  </mc:AlternateContent>
  <xr:revisionPtr revIDLastSave="0" documentId="8_{A73C1307-CEEA-42A8-BE55-652470D0EA86}" xr6:coauthVersionLast="47" xr6:coauthVersionMax="47" xr10:uidLastSave="{00000000-0000-0000-0000-000000000000}"/>
  <bookViews>
    <workbookView xWindow="57480" yWindow="-90" windowWidth="29040" windowHeight="15720" xr2:uid="{00000000-000D-0000-FFFF-FFFF00000000}"/>
  </bookViews>
  <sheets>
    <sheet name="Income" sheetId="1" r:id="rId1"/>
    <sheet name="Allocations  2017-18" sheetId="7" state="hidden" r:id="rId2"/>
  </sheets>
  <externalReferences>
    <externalReference r:id="rId3"/>
  </externalReferences>
  <definedNames>
    <definedName name="_xlnm._FilterDatabase" localSheetId="1" hidden="1">'Allocations  2017-18'!$A$2:$H$128</definedName>
    <definedName name="_xlnm._FilterDatabase" localSheetId="0" hidden="1">Income!$A$2:$G$199</definedName>
    <definedName name="Expenditure" localSheetId="1">Other [1]Schemes!$L$62:$L$62</definedName>
    <definedName name="Expenditure">Other [1]Schemes!$L$62:$L$62</definedName>
    <definedName name="MmExcelLinker_B8EC318A_07DF_451F_97C2_A4098916063F" localSheetId="1">Other [1]Schemes!$L$62:$L$62</definedName>
    <definedName name="MmExcelLinker_B8EC318A_07DF_451F_97C2_A4098916063F" localSheetId="0">Other [1]Schemes!$L$62:$L$62</definedName>
    <definedName name="MmExcelLinker_B8EC318A_07DF_451F_97C2_A4098916063F">Other [1]Schemes!$L$62:$L$62</definedName>
    <definedName name="_xlnm.Print_Area" localSheetId="1">'Allocations  2017-18'!$A$1:$P$121</definedName>
    <definedName name="_xlnm.Print_Area" localSheetId="0">Income!$A$2:$G$193</definedName>
    <definedName name="_xlnm.Print_Titles" localSheetId="1">'Allocations  2017-18'!$A:$C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7" l="1"/>
  <c r="E76" i="7" s="1"/>
  <c r="F11" i="7"/>
  <c r="T11" i="7" s="1"/>
  <c r="F12" i="7"/>
  <c r="T12" i="7" s="1"/>
  <c r="Q8" i="7"/>
  <c r="T61" i="7"/>
  <c r="S62" i="7"/>
  <c r="R62" i="7"/>
  <c r="T33" i="7"/>
  <c r="Q29" i="7"/>
  <c r="G59" i="7"/>
  <c r="G54" i="7"/>
  <c r="Q92" i="7"/>
  <c r="F92" i="7"/>
  <c r="F98" i="7"/>
  <c r="T98" i="7"/>
  <c r="T100" i="7" s="1"/>
  <c r="G92" i="7"/>
  <c r="G98" i="7"/>
  <c r="I98" i="7" s="1"/>
  <c r="D196" i="1"/>
  <c r="E92" i="7"/>
  <c r="V76" i="7"/>
  <c r="S77" i="7"/>
  <c r="R77" i="7"/>
  <c r="T76" i="7"/>
  <c r="Q77" i="7"/>
  <c r="H77" i="7"/>
  <c r="G77" i="7"/>
  <c r="I77" i="7"/>
  <c r="Q53" i="7"/>
  <c r="Q62" i="7"/>
  <c r="Q65" i="7"/>
  <c r="G65" i="7"/>
  <c r="I65" i="7" s="1"/>
  <c r="V65" i="7" s="1"/>
  <c r="G53" i="7"/>
  <c r="H53" i="7" s="1"/>
  <c r="H13" i="7"/>
  <c r="V13" i="7"/>
  <c r="E13" i="7"/>
  <c r="F116" i="7"/>
  <c r="F115" i="7"/>
  <c r="F114" i="7"/>
  <c r="E114" i="7" s="1"/>
  <c r="F99" i="7"/>
  <c r="T99" i="7" s="1"/>
  <c r="F94" i="7"/>
  <c r="E94" i="7" s="1"/>
  <c r="F91" i="7"/>
  <c r="F85" i="7"/>
  <c r="T85" i="7" s="1"/>
  <c r="F84" i="7"/>
  <c r="E84" i="7" s="1"/>
  <c r="F80" i="7"/>
  <c r="T80" i="7" s="1"/>
  <c r="T81" i="7" s="1"/>
  <c r="F75" i="7"/>
  <c r="F74" i="7"/>
  <c r="T74" i="7" s="1"/>
  <c r="F73" i="7"/>
  <c r="F77" i="7" s="1"/>
  <c r="F69" i="7"/>
  <c r="T69" i="7" s="1"/>
  <c r="F68" i="7"/>
  <c r="F67" i="7"/>
  <c r="E67" i="7" s="1"/>
  <c r="F66" i="7"/>
  <c r="T66" i="7" s="1"/>
  <c r="F65" i="7"/>
  <c r="T65" i="7" s="1"/>
  <c r="T70" i="7" s="1"/>
  <c r="F60" i="7"/>
  <c r="F59" i="7"/>
  <c r="F58" i="7"/>
  <c r="T58" i="7" s="1"/>
  <c r="F57" i="7"/>
  <c r="E57" i="7" s="1"/>
  <c r="F56" i="7"/>
  <c r="F44" i="7"/>
  <c r="T44" i="7" s="1"/>
  <c r="F43" i="7"/>
  <c r="T43" i="7" s="1"/>
  <c r="T46" i="7" s="1"/>
  <c r="F39" i="7"/>
  <c r="F38" i="7"/>
  <c r="F37" i="7"/>
  <c r="E37" i="7" s="1"/>
  <c r="F36" i="7"/>
  <c r="T36" i="7" s="1"/>
  <c r="F35" i="7"/>
  <c r="E35" i="7" s="1"/>
  <c r="F34" i="7"/>
  <c r="F32" i="7"/>
  <c r="E32" i="7" s="1"/>
  <c r="F31" i="7"/>
  <c r="T31" i="7" s="1"/>
  <c r="F30" i="7"/>
  <c r="F29" i="7"/>
  <c r="F28" i="7"/>
  <c r="E28" i="7" s="1"/>
  <c r="F22" i="7"/>
  <c r="E22" i="7" s="1"/>
  <c r="F18" i="7"/>
  <c r="T18" i="7" s="1"/>
  <c r="T19" i="7" s="1"/>
  <c r="F10" i="7"/>
  <c r="F9" i="7"/>
  <c r="E9" i="7" s="1"/>
  <c r="F8" i="7"/>
  <c r="E8" i="7" s="1"/>
  <c r="F7" i="7"/>
  <c r="E7" i="7" s="1"/>
  <c r="F6" i="7"/>
  <c r="F5" i="7"/>
  <c r="E5" i="7" s="1"/>
  <c r="F55" i="7"/>
  <c r="T55" i="7" s="1"/>
  <c r="F54" i="7"/>
  <c r="T54" i="7" s="1"/>
  <c r="F53" i="7"/>
  <c r="Q37" i="7"/>
  <c r="Q39" i="7"/>
  <c r="V39" i="7" s="1"/>
  <c r="J196" i="1"/>
  <c r="Q116" i="7"/>
  <c r="T126" i="7"/>
  <c r="T128" i="7"/>
  <c r="S117" i="7"/>
  <c r="R117" i="7"/>
  <c r="Q117" i="7"/>
  <c r="P117" i="7"/>
  <c r="P119" i="7" s="1"/>
  <c r="N117" i="7"/>
  <c r="M117" i="7"/>
  <c r="L117" i="7"/>
  <c r="K117" i="7"/>
  <c r="J117" i="7"/>
  <c r="I117" i="7"/>
  <c r="H117" i="7"/>
  <c r="G116" i="7"/>
  <c r="O116" i="7" s="1"/>
  <c r="V116" i="7" s="1"/>
  <c r="V117" i="7" s="1"/>
  <c r="O115" i="7"/>
  <c r="O114" i="7"/>
  <c r="S110" i="7"/>
  <c r="R110" i="7"/>
  <c r="Q110" i="7"/>
  <c r="P109" i="7"/>
  <c r="V109" i="7" s="1"/>
  <c r="V110" i="7" s="1"/>
  <c r="T109" i="7"/>
  <c r="T110" i="7" s="1"/>
  <c r="E109" i="7"/>
  <c r="P105" i="7"/>
  <c r="O105" i="7"/>
  <c r="S100" i="7"/>
  <c r="R100" i="7"/>
  <c r="R103" i="7" s="1"/>
  <c r="Q100" i="7"/>
  <c r="H100" i="7"/>
  <c r="G100" i="7"/>
  <c r="G103" i="7" s="1"/>
  <c r="I99" i="7"/>
  <c r="V99" i="7" s="1"/>
  <c r="S95" i="7"/>
  <c r="R95" i="7"/>
  <c r="Q95" i="7"/>
  <c r="H95" i="7"/>
  <c r="G95" i="7"/>
  <c r="V94" i="7"/>
  <c r="V95" i="7" s="1"/>
  <c r="V91" i="7"/>
  <c r="E91" i="7"/>
  <c r="E95" i="7" s="1"/>
  <c r="L87" i="7"/>
  <c r="S86" i="7"/>
  <c r="R86" i="7"/>
  <c r="Q86" i="7"/>
  <c r="N85" i="7"/>
  <c r="V85" i="7" s="1"/>
  <c r="M84" i="7"/>
  <c r="V84" i="7" s="1"/>
  <c r="V86" i="7" s="1"/>
  <c r="S81" i="7"/>
  <c r="R81" i="7"/>
  <c r="R87" i="7" s="1"/>
  <c r="Q81" i="7"/>
  <c r="J81" i="7"/>
  <c r="I81" i="7"/>
  <c r="H81" i="7"/>
  <c r="G81" i="7"/>
  <c r="K80" i="7"/>
  <c r="V80" i="7" s="1"/>
  <c r="J75" i="7"/>
  <c r="V75" i="7"/>
  <c r="E75" i="7"/>
  <c r="J74" i="7"/>
  <c r="V74" i="7" s="1"/>
  <c r="J73" i="7"/>
  <c r="V73" i="7" s="1"/>
  <c r="V77" i="7" s="1"/>
  <c r="S70" i="7"/>
  <c r="R70" i="7"/>
  <c r="H70" i="7"/>
  <c r="G70" i="7"/>
  <c r="I69" i="7"/>
  <c r="V69" i="7" s="1"/>
  <c r="I68" i="7"/>
  <c r="V68" i="7"/>
  <c r="E68" i="7"/>
  <c r="I67" i="7"/>
  <c r="V67" i="7" s="1"/>
  <c r="Q70" i="7"/>
  <c r="I66" i="7"/>
  <c r="V66" i="7" s="1"/>
  <c r="V70" i="7" s="1"/>
  <c r="H60" i="7"/>
  <c r="V60" i="7" s="1"/>
  <c r="T60" i="7"/>
  <c r="H59" i="7"/>
  <c r="V59" i="7" s="1"/>
  <c r="H58" i="7"/>
  <c r="V58" i="7" s="1"/>
  <c r="H57" i="7"/>
  <c r="V57" i="7"/>
  <c r="H56" i="7"/>
  <c r="V56" i="7" s="1"/>
  <c r="T56" i="7"/>
  <c r="H55" i="7"/>
  <c r="E55" i="7"/>
  <c r="E53" i="7"/>
  <c r="S46" i="7"/>
  <c r="S49" i="7" s="1"/>
  <c r="R46" i="7"/>
  <c r="Q46" i="7"/>
  <c r="H46" i="7"/>
  <c r="G46" i="7"/>
  <c r="G49" i="7" s="1"/>
  <c r="V45" i="7"/>
  <c r="T45" i="7"/>
  <c r="I44" i="7"/>
  <c r="V44" i="7" s="1"/>
  <c r="V46" i="7" s="1"/>
  <c r="V43" i="7"/>
  <c r="S40" i="7"/>
  <c r="R40" i="7"/>
  <c r="G40" i="7"/>
  <c r="H39" i="7"/>
  <c r="H38" i="7"/>
  <c r="V38" i="7"/>
  <c r="E38" i="7"/>
  <c r="H37" i="7"/>
  <c r="H36" i="7"/>
  <c r="V36" i="7"/>
  <c r="H35" i="7"/>
  <c r="V35" i="7" s="1"/>
  <c r="H34" i="7"/>
  <c r="V34" i="7" s="1"/>
  <c r="E34" i="7"/>
  <c r="H32" i="7"/>
  <c r="V32" i="7" s="1"/>
  <c r="H31" i="7"/>
  <c r="V31" i="7" s="1"/>
  <c r="H30" i="7"/>
  <c r="V30" i="7"/>
  <c r="H29" i="7"/>
  <c r="V29" i="7" s="1"/>
  <c r="E29" i="7"/>
  <c r="H28" i="7"/>
  <c r="V28" i="7" s="1"/>
  <c r="K24" i="7"/>
  <c r="J24" i="7"/>
  <c r="S23" i="7"/>
  <c r="R23" i="7"/>
  <c r="Q23" i="7"/>
  <c r="L22" i="7"/>
  <c r="L24" i="7" s="1"/>
  <c r="L105" i="7" s="1"/>
  <c r="L119" i="7" s="1"/>
  <c r="S19" i="7"/>
  <c r="R19" i="7"/>
  <c r="R24" i="7" s="1"/>
  <c r="Q19" i="7"/>
  <c r="Q24" i="7" s="1"/>
  <c r="H19" i="7"/>
  <c r="G19" i="7"/>
  <c r="I18" i="7"/>
  <c r="V18" i="7" s="1"/>
  <c r="V19" i="7" s="1"/>
  <c r="S15" i="7"/>
  <c r="S24" i="7" s="1"/>
  <c r="R15" i="7"/>
  <c r="Q15" i="7"/>
  <c r="G15" i="7"/>
  <c r="G24" i="7" s="1"/>
  <c r="H14" i="7"/>
  <c r="V14" i="7" s="1"/>
  <c r="E14" i="7"/>
  <c r="H12" i="7"/>
  <c r="V12" i="7"/>
  <c r="H11" i="7"/>
  <c r="V11" i="7"/>
  <c r="H10" i="7"/>
  <c r="V10" i="7" s="1"/>
  <c r="H9" i="7"/>
  <c r="V9" i="7"/>
  <c r="H8" i="7"/>
  <c r="V8" i="7" s="1"/>
  <c r="H7" i="7"/>
  <c r="V7" i="7" s="1"/>
  <c r="H6" i="7"/>
  <c r="V6" i="7" s="1"/>
  <c r="H5" i="7"/>
  <c r="V5" i="7" s="1"/>
  <c r="I19" i="7"/>
  <c r="I24" i="7"/>
  <c r="T29" i="7"/>
  <c r="K81" i="7"/>
  <c r="K87" i="7" s="1"/>
  <c r="K105" i="7" s="1"/>
  <c r="K119" i="7" s="1"/>
  <c r="N87" i="7"/>
  <c r="N105" i="7" s="1"/>
  <c r="T38" i="7"/>
  <c r="Q103" i="7"/>
  <c r="V53" i="7"/>
  <c r="T75" i="7"/>
  <c r="V81" i="7"/>
  <c r="R49" i="7"/>
  <c r="S103" i="7"/>
  <c r="T134" i="7"/>
  <c r="S87" i="7"/>
  <c r="F70" i="7"/>
  <c r="T68" i="7"/>
  <c r="T34" i="7"/>
  <c r="E56" i="7"/>
  <c r="T91" i="7"/>
  <c r="T6" i="7"/>
  <c r="E6" i="7"/>
  <c r="T35" i="7"/>
  <c r="T115" i="7"/>
  <c r="E115" i="7"/>
  <c r="T53" i="7"/>
  <c r="E30" i="7"/>
  <c r="E60" i="7"/>
  <c r="V55" i="7"/>
  <c r="T59" i="7"/>
  <c r="T10" i="7"/>
  <c r="E10" i="7"/>
  <c r="Q87" i="7"/>
  <c r="F95" i="7"/>
  <c r="D5" i="1"/>
  <c r="D13" i="1"/>
  <c r="D20" i="1"/>
  <c r="D43" i="1"/>
  <c r="D64" i="1"/>
  <c r="I100" i="7" l="1"/>
  <c r="I103" i="7" s="1"/>
  <c r="V98" i="7"/>
  <c r="V100" i="7" s="1"/>
  <c r="V103" i="7" s="1"/>
  <c r="I46" i="7"/>
  <c r="I49" i="7" s="1"/>
  <c r="V15" i="7"/>
  <c r="V24" i="7" s="1"/>
  <c r="G117" i="7"/>
  <c r="T84" i="7"/>
  <c r="T86" i="7" s="1"/>
  <c r="E59" i="7"/>
  <c r="E98" i="7"/>
  <c r="E100" i="7" s="1"/>
  <c r="E103" i="7" s="1"/>
  <c r="I70" i="7"/>
  <c r="I87" i="7" s="1"/>
  <c r="V37" i="7"/>
  <c r="M87" i="7"/>
  <c r="M105" i="7" s="1"/>
  <c r="M119" i="7" s="1"/>
  <c r="J77" i="7"/>
  <c r="J87" i="7" s="1"/>
  <c r="J105" i="7" s="1"/>
  <c r="J119" i="7" s="1"/>
  <c r="T39" i="7"/>
  <c r="T116" i="7"/>
  <c r="H103" i="7"/>
  <c r="V22" i="7"/>
  <c r="V23" i="7" s="1"/>
  <c r="Q40" i="7"/>
  <c r="Q49" i="7" s="1"/>
  <c r="Q105" i="7" s="1"/>
  <c r="Q119" i="7" s="1"/>
  <c r="E31" i="7"/>
  <c r="E43" i="7"/>
  <c r="E46" i="7" s="1"/>
  <c r="T114" i="7"/>
  <c r="T117" i="7" s="1"/>
  <c r="T9" i="7"/>
  <c r="E11" i="7"/>
  <c r="T73" i="7"/>
  <c r="T77" i="7" s="1"/>
  <c r="T28" i="7"/>
  <c r="F100" i="7"/>
  <c r="F103" i="7" s="1"/>
  <c r="E99" i="7"/>
  <c r="F15" i="7"/>
  <c r="E85" i="7"/>
  <c r="E74" i="7"/>
  <c r="T37" i="7"/>
  <c r="T32" i="7"/>
  <c r="F46" i="7"/>
  <c r="E73" i="7"/>
  <c r="E77" i="7" s="1"/>
  <c r="E66" i="7"/>
  <c r="T67" i="7"/>
  <c r="T22" i="7"/>
  <c r="T23" i="7" s="1"/>
  <c r="E12" i="7"/>
  <c r="E44" i="7"/>
  <c r="E58" i="7"/>
  <c r="T8" i="7"/>
  <c r="T5" i="7"/>
  <c r="F40" i="7"/>
  <c r="N119" i="7"/>
  <c r="S119" i="7"/>
  <c r="S129" i="7" s="1"/>
  <c r="R105" i="7"/>
  <c r="R119" i="7" s="1"/>
  <c r="R129" i="7" s="1"/>
  <c r="E15" i="7"/>
  <c r="S105" i="7"/>
  <c r="V40" i="7"/>
  <c r="V49" i="7" s="1"/>
  <c r="E69" i="7"/>
  <c r="O117" i="7"/>
  <c r="O119" i="7" s="1"/>
  <c r="T30" i="7"/>
  <c r="T57" i="7"/>
  <c r="T62" i="7" s="1"/>
  <c r="T87" i="7" s="1"/>
  <c r="T7" i="7"/>
  <c r="E65" i="7"/>
  <c r="E70" i="7" s="1"/>
  <c r="H54" i="7"/>
  <c r="V54" i="7" s="1"/>
  <c r="V62" i="7" s="1"/>
  <c r="V87" i="7" s="1"/>
  <c r="G62" i="7"/>
  <c r="G87" i="7" s="1"/>
  <c r="G105" i="7" s="1"/>
  <c r="G119" i="7" s="1"/>
  <c r="E54" i="7"/>
  <c r="E62" i="7" s="1"/>
  <c r="E39" i="7"/>
  <c r="E40" i="7" s="1"/>
  <c r="E49" i="7" s="1"/>
  <c r="H40" i="7"/>
  <c r="H49" i="7" s="1"/>
  <c r="E18" i="7"/>
  <c r="E19" i="7" s="1"/>
  <c r="E24" i="7" s="1"/>
  <c r="E80" i="7"/>
  <c r="E81" i="7" s="1"/>
  <c r="E116" i="7"/>
  <c r="E117" i="7" s="1"/>
  <c r="F81" i="7"/>
  <c r="H15" i="7"/>
  <c r="H24" i="7" s="1"/>
  <c r="F19" i="7"/>
  <c r="F24" i="7" s="1"/>
  <c r="F117" i="7"/>
  <c r="T94" i="7"/>
  <c r="T95" i="7" s="1"/>
  <c r="T103" i="7" s="1"/>
  <c r="F62" i="7"/>
  <c r="U128" i="7" l="1"/>
  <c r="Q129" i="7"/>
  <c r="T129" i="7" s="1"/>
  <c r="T130" i="7" s="1"/>
  <c r="I105" i="7"/>
  <c r="I119" i="7" s="1"/>
  <c r="V105" i="7"/>
  <c r="V119" i="7" s="1"/>
  <c r="T40" i="7"/>
  <c r="T49" i="7" s="1"/>
  <c r="E87" i="7"/>
  <c r="E105" i="7" s="1"/>
  <c r="E119" i="7" s="1"/>
  <c r="F49" i="7"/>
  <c r="F87" i="7"/>
  <c r="F105" i="7" s="1"/>
  <c r="F119" i="7" s="1"/>
  <c r="T15" i="7"/>
  <c r="T24" i="7" s="1"/>
  <c r="T105" i="7"/>
  <c r="T119" i="7" s="1"/>
  <c r="H62" i="7"/>
  <c r="H87" i="7" s="1"/>
  <c r="H105" i="7" s="1"/>
  <c r="H119" i="7" s="1"/>
  <c r="T133" i="7" l="1"/>
  <c r="T135" i="7" s="1"/>
  <c r="T13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Q2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Need to check with Colin most recent CP £39k moved to D00248 from D00249</t>
        </r>
      </text>
    </comment>
    <comment ref="G6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Payment to NCC greater than received amount by £7k</t>
        </r>
      </text>
    </comment>
  </commentList>
</comments>
</file>

<file path=xl/sharedStrings.xml><?xml version="1.0" encoding="utf-8"?>
<sst xmlns="http://schemas.openxmlformats.org/spreadsheetml/2006/main" count="1365" uniqueCount="459">
  <si>
    <t>Payment Date</t>
  </si>
  <si>
    <t>Payment Type</t>
  </si>
  <si>
    <t>Developer</t>
  </si>
  <si>
    <t>Amount</t>
  </si>
  <si>
    <t>ProjCode</t>
  </si>
  <si>
    <t>Oddicroft Lane</t>
  </si>
  <si>
    <t>STR6</t>
  </si>
  <si>
    <t>Land At Studfold Farm, Lindleys Lane, Kirkby-in-Ashfield</t>
  </si>
  <si>
    <t>KTR6</t>
  </si>
  <si>
    <t>Kirkby TC Regen</t>
  </si>
  <si>
    <t>KR</t>
  </si>
  <si>
    <t>Land At 14,22,24, Portland Road, Selston</t>
  </si>
  <si>
    <t>RTR6</t>
  </si>
  <si>
    <t>Mansfield Road (see also 264)</t>
  </si>
  <si>
    <t>The Old Mill Silk Street</t>
  </si>
  <si>
    <t>??</t>
  </si>
  <si>
    <t>KPOS</t>
  </si>
  <si>
    <t>V/2010/0447</t>
  </si>
  <si>
    <t xml:space="preserve">Morrisons </t>
  </si>
  <si>
    <t xml:space="preserve">Civic Square </t>
  </si>
  <si>
    <t>Land at, Garden Road, Hucknall</t>
  </si>
  <si>
    <t>HTR6</t>
  </si>
  <si>
    <t>Blenheim Park, Blenheim Lane, Hucknall</t>
  </si>
  <si>
    <t>Hucknall Colliery (Retail Development)</t>
  </si>
  <si>
    <t>Land to rear 596 Moor Road, Bestwood</t>
  </si>
  <si>
    <t>Land off, Church Lane, Hucknall</t>
  </si>
  <si>
    <t>St James &amp; St Georges Courts, Annesley Road, Hucknall</t>
  </si>
  <si>
    <t>POS</t>
  </si>
  <si>
    <t>Brendan Homes</t>
  </si>
  <si>
    <t>HPOS</t>
  </si>
  <si>
    <t>Griffiths</t>
  </si>
  <si>
    <t>TR6</t>
  </si>
  <si>
    <t>Short Ltd</t>
  </si>
  <si>
    <t>Cromford Road/Derwent Drive</t>
  </si>
  <si>
    <t>De Montfort Housing</t>
  </si>
  <si>
    <t>Fascia Mania House, Ogle Street</t>
  </si>
  <si>
    <t>Martim Ltd</t>
  </si>
  <si>
    <t>Peveril Homes</t>
  </si>
  <si>
    <t>Land at former Coats Viyella Site, Huthwaite Road</t>
  </si>
  <si>
    <t>Old Mill Silk Street</t>
  </si>
  <si>
    <t>Westleigh</t>
  </si>
  <si>
    <t>Affordable Housing</t>
  </si>
  <si>
    <t>Whelmar</t>
  </si>
  <si>
    <t>Bovis</t>
  </si>
  <si>
    <t>Micagold Ltd/Haslan Homes</t>
  </si>
  <si>
    <t>Land at Corner of Nottingham Rd &amp; Hanstubbin Rd, Selston</t>
  </si>
  <si>
    <t>Woodrow Dev Ltd</t>
  </si>
  <si>
    <t>K &amp; D Building Contractors</t>
  </si>
  <si>
    <t>Morris Homes</t>
  </si>
  <si>
    <t>Land Off, Old Mill Close, Bestwood Village</t>
  </si>
  <si>
    <t>East Midlands Housing</t>
  </si>
  <si>
    <t>Land to Rear Jephson Road</t>
  </si>
  <si>
    <t>SPOS</t>
  </si>
  <si>
    <t>Education</t>
  </si>
  <si>
    <t>Aff Housing</t>
  </si>
  <si>
    <t/>
  </si>
  <si>
    <t>Land to rear The Last Drop, Mansfield Road</t>
  </si>
  <si>
    <t>Taylor Wimpey</t>
  </si>
  <si>
    <t>Pendean Way</t>
  </si>
  <si>
    <t>Railway Inn, Urban Road (Aldi)</t>
  </si>
  <si>
    <t>LAND ADJ MARR SOUTH OF LOWER OAKHAM WAY</t>
  </si>
  <si>
    <t>RPOS</t>
  </si>
  <si>
    <t>Land adjoining Hamilton Road and Hamilton Way</t>
  </si>
  <si>
    <t>BDW Trading Ltd</t>
  </si>
  <si>
    <t>Land South of Langley Close  Bestwood Village</t>
  </si>
  <si>
    <t>Various</t>
  </si>
  <si>
    <t>Taylor Wimpey / Persimmons</t>
  </si>
  <si>
    <t>BROOMHILL PARK, NOTTINGHAM ROAD, HUCKNALL</t>
  </si>
  <si>
    <t>Ben Bailey Homes</t>
  </si>
  <si>
    <t>V/2003/1094</t>
  </si>
  <si>
    <t>Land At Studfold Farm, Lindleys Lane</t>
  </si>
  <si>
    <t>Rossi's Developments</t>
  </si>
  <si>
    <t>GIORGIOS CONTINENTAL WAREHOUSE 3-5 WINIFRED STREET</t>
  </si>
  <si>
    <t>Annesley Regeneration Payment</t>
  </si>
  <si>
    <t>Persimmon Homes</t>
  </si>
  <si>
    <t>AR</t>
  </si>
  <si>
    <t>LAND OFF PAPPLEWICK LANE, HUCKNALL</t>
  </si>
  <si>
    <t>Play Equip</t>
  </si>
  <si>
    <t>Former Oval Public House, The Oval</t>
  </si>
  <si>
    <t>Barratt Homes</t>
  </si>
  <si>
    <t>Land to rear 606 &amp; 618 Moor Road, Bestwood</t>
  </si>
  <si>
    <t>Co-operative Group Ltd</t>
  </si>
  <si>
    <t>V/20100447</t>
  </si>
  <si>
    <t>Ashfield Precinct, Precinct Road, Kirkby</t>
  </si>
  <si>
    <t>Former Courtaulds Factory and Adjacent Land, Unwin Road, Sutton</t>
  </si>
  <si>
    <t>V/xxx/1</t>
  </si>
  <si>
    <t>David Wilson Homes</t>
  </si>
  <si>
    <t>Land off Lynton Drive, Sutton in Ashfield</t>
  </si>
  <si>
    <t>Rephasing Traffic Lights Kirkby</t>
  </si>
  <si>
    <t>Rippon Homes Ltd</t>
  </si>
  <si>
    <t>V/2011/0349</t>
  </si>
  <si>
    <t>The Maltings, 231 Mansfield Road, Skegby</t>
  </si>
  <si>
    <t>Markeaton Estates</t>
  </si>
  <si>
    <t>V/2008/0785</t>
  </si>
  <si>
    <t>Land to the rear of 35 Nottingham Road, Selston</t>
  </si>
  <si>
    <t>V/2012/0275</t>
  </si>
  <si>
    <t>Greenwood Falls Farm</t>
  </si>
  <si>
    <t>Health Care</t>
  </si>
  <si>
    <t>Health</t>
  </si>
  <si>
    <t>Police</t>
  </si>
  <si>
    <t>Bovis Homes</t>
  </si>
  <si>
    <t>Westleigh Developments</t>
  </si>
  <si>
    <t>V/2012/0053</t>
  </si>
  <si>
    <t>Land at Occupation Road</t>
  </si>
  <si>
    <t>Birchway Properties</t>
  </si>
  <si>
    <t>V/2011/0384</t>
  </si>
  <si>
    <t>Land at Hardwick Lane, Sutton in Ashfield</t>
  </si>
  <si>
    <t>BDW Trading</t>
  </si>
  <si>
    <t>V/2013/0070</t>
  </si>
  <si>
    <t>Phase 3 Papplewick Lane, Hucknall</t>
  </si>
  <si>
    <t>Bellway Homes</t>
  </si>
  <si>
    <t>Employment</t>
  </si>
  <si>
    <t>Miller Homes</t>
  </si>
  <si>
    <t>V/2009/0587</t>
  </si>
  <si>
    <t>Employment Opportunities</t>
  </si>
  <si>
    <t>Haydock Finance</t>
  </si>
  <si>
    <t>V/2011/0407</t>
  </si>
  <si>
    <t>Lucknow Drive, Sutton</t>
  </si>
  <si>
    <t>V/2006/0564</t>
  </si>
  <si>
    <t>Land Sout of the Fomer Inter. Clothing Centre, Annesley Road</t>
  </si>
  <si>
    <t>Westerman Homes</t>
  </si>
  <si>
    <t>V/2012/0580</t>
  </si>
  <si>
    <t>Land Off Portland Road</t>
  </si>
  <si>
    <t>LAND OFF PORTLAND ROAD</t>
  </si>
  <si>
    <t>Regeneration</t>
  </si>
  <si>
    <t>V/2005/0886</t>
  </si>
  <si>
    <t>Art</t>
  </si>
  <si>
    <t>Gladedale Homes</t>
  </si>
  <si>
    <t>V/2005/0396</t>
  </si>
  <si>
    <t>Land Off, Lindleys Lane</t>
  </si>
  <si>
    <t>V/2011/0189</t>
  </si>
  <si>
    <t>Rowan Developments*</t>
  </si>
  <si>
    <t>V/2009/0550</t>
  </si>
  <si>
    <t>83 Papplewick Lane, Hucknall</t>
  </si>
  <si>
    <t>V/2010/0433</t>
  </si>
  <si>
    <t>Former Annesley Colliery</t>
  </si>
  <si>
    <t>FORMER ANNESLEY COLLIERY HUCKNALL ROAD ANNESLEY</t>
  </si>
  <si>
    <t>Cook/Rodgers*</t>
  </si>
  <si>
    <t>V/2010/0123</t>
  </si>
  <si>
    <t>Former Huthwaite Service Reservoir, Chesterfield Road, Huthwaite</t>
  </si>
  <si>
    <t>A &amp; DJ Properties</t>
  </si>
  <si>
    <t>V/2014/0035</t>
  </si>
  <si>
    <t>Palmerson Street, Underwood</t>
  </si>
  <si>
    <t>V/2013/0409</t>
  </si>
  <si>
    <t>BROOMHILL FARM, LAND TO WEST OF NOTTINGHAM ROAD</t>
  </si>
  <si>
    <t>Play Area</t>
  </si>
  <si>
    <t>V/2004/0356</t>
  </si>
  <si>
    <t>Papplewick Lane</t>
  </si>
  <si>
    <t>V/2011/0560</t>
  </si>
  <si>
    <t>Larwood Park, Sutton Road, Kirkby</t>
  </si>
  <si>
    <t>Langley Homes Ltd</t>
  </si>
  <si>
    <t>V/2007/0705</t>
  </si>
  <si>
    <t>Land to rear 355 - 371a Watnall Road</t>
  </si>
  <si>
    <t>Footpaths</t>
  </si>
  <si>
    <t>Parker</t>
  </si>
  <si>
    <t>V/2014/0209</t>
  </si>
  <si>
    <t>Sutton Open Space</t>
  </si>
  <si>
    <t>Paid to Friends of Teversal Trails Not ADC</t>
  </si>
  <si>
    <t>V/2010/0652</t>
  </si>
  <si>
    <t>Marshgate Properties</t>
  </si>
  <si>
    <t>V/2009/0091</t>
  </si>
  <si>
    <t>Land at Sandhills Bar, Mansfield Road, Underwood</t>
  </si>
  <si>
    <t>Former Annesley Colliery, Hucknall Road, Annesley</t>
  </si>
  <si>
    <t>T15029002</t>
  </si>
  <si>
    <t>Strata Homes</t>
  </si>
  <si>
    <t>V/2014/0045</t>
  </si>
  <si>
    <t xml:space="preserve">Land Off The Twitchell, Sutton </t>
  </si>
  <si>
    <t>Land Off The Twitchell, Sutton</t>
  </si>
  <si>
    <t>Rowan Developments</t>
  </si>
  <si>
    <t>5 Years</t>
  </si>
  <si>
    <t>V/2013/0641</t>
  </si>
  <si>
    <t>364-376 Watnall Road, Hucknall</t>
  </si>
  <si>
    <t>Land at Lindleys Lane, Kirkby in Ashfield</t>
  </si>
  <si>
    <t xml:space="preserve">Inc. code </t>
  </si>
  <si>
    <t xml:space="preserve">Exp. code </t>
  </si>
  <si>
    <t xml:space="preserve">PROJECT </t>
  </si>
  <si>
    <t xml:space="preserve">Specific agreement/ Planning Ref </t>
  </si>
  <si>
    <t xml:space="preserve">Allocations </t>
  </si>
  <si>
    <t>Hucknall Area Committee</t>
  </si>
  <si>
    <t xml:space="preserve">Employment </t>
  </si>
  <si>
    <t>C00081</t>
  </si>
  <si>
    <t>Lime Tree Recreation Ground</t>
  </si>
  <si>
    <t>C00151</t>
  </si>
  <si>
    <t xml:space="preserve">Milton Rise Play area </t>
  </si>
  <si>
    <t>D00215</t>
  </si>
  <si>
    <t xml:space="preserve">Nabbs Lane Cycle Track </t>
  </si>
  <si>
    <t>D00214</t>
  </si>
  <si>
    <t xml:space="preserve">Titchfield Park </t>
  </si>
  <si>
    <t>N00108</t>
  </si>
  <si>
    <t>Washdyke Lane Rec Grd; General Improvements</t>
  </si>
  <si>
    <t>C00186</t>
  </si>
  <si>
    <t xml:space="preserve">Common Farm </t>
  </si>
  <si>
    <t>C21000</t>
  </si>
  <si>
    <t xml:space="preserve">Babbacombe/ Polperro </t>
  </si>
  <si>
    <t xml:space="preserve">POS allocations </t>
  </si>
  <si>
    <t>TR6  allocations</t>
  </si>
  <si>
    <t xml:space="preserve">Papplewick Green Public Art Work </t>
  </si>
  <si>
    <t xml:space="preserve">Total Hucknall Area Committee allocations </t>
  </si>
  <si>
    <t>Sutton Area Committee</t>
  </si>
  <si>
    <t>D00248</t>
  </si>
  <si>
    <t>Brierley Forest Park Management Plan</t>
  </si>
  <si>
    <t>D00249</t>
  </si>
  <si>
    <t>N00111</t>
  </si>
  <si>
    <t xml:space="preserve">Kingsmill Reservoir management plan: Implementation Works </t>
  </si>
  <si>
    <t>C00138</t>
  </si>
  <si>
    <t>Sutton Lawn: implementation of management plan</t>
  </si>
  <si>
    <t>D00238</t>
  </si>
  <si>
    <t>Sutton Lawn Young people’s provision</t>
  </si>
  <si>
    <t xml:space="preserve">NICP </t>
  </si>
  <si>
    <t>Taylor Crescent Recreation Ground</t>
  </si>
  <si>
    <t>Roundhill Recreation Ground</t>
  </si>
  <si>
    <t xml:space="preserve">Football changing rooms </t>
  </si>
  <si>
    <t>Oval Play Area</t>
  </si>
  <si>
    <t>C00034</t>
  </si>
  <si>
    <t>Kingsmill Reservoir footpath links</t>
  </si>
  <si>
    <t>C00172</t>
  </si>
  <si>
    <t>Sutton Trails Network</t>
  </si>
  <si>
    <t xml:space="preserve">TR6 allocations </t>
  </si>
  <si>
    <t xml:space="preserve">Total Sutton Area Committee allocations </t>
  </si>
  <si>
    <t>Kirkby Area Committee</t>
  </si>
  <si>
    <t xml:space="preserve">Kirkby Regen </t>
  </si>
  <si>
    <t xml:space="preserve">Lindley's Lane play </t>
  </si>
  <si>
    <t>C00065</t>
  </si>
  <si>
    <t>Acacia Avenue Rec - General Improvements</t>
  </si>
  <si>
    <t>C00070</t>
  </si>
  <si>
    <t>Beacon Drive/ Coniston Road</t>
  </si>
  <si>
    <t>C00124</t>
  </si>
  <si>
    <t xml:space="preserve">Forest Road Nature Area </t>
  </si>
  <si>
    <t>D00230</t>
  </si>
  <si>
    <t>Kingsway Park: implementation of management plan</t>
  </si>
  <si>
    <t>N00093</t>
  </si>
  <si>
    <t>Portland Park Management Plan: General Improvements</t>
  </si>
  <si>
    <t>C00121</t>
  </si>
  <si>
    <t>Sports pavilion, Titchfield Park</t>
  </si>
  <si>
    <t>Warwick Close</t>
  </si>
  <si>
    <t xml:space="preserve">POS allocations  </t>
  </si>
  <si>
    <t>C00190</t>
  </si>
  <si>
    <t>D00098</t>
  </si>
  <si>
    <t xml:space="preserve">Kirkby Regeneration and Civic Centre, incl KTC phase 2, Station Road etc (200k regen) </t>
  </si>
  <si>
    <t xml:space="preserve">Shop front improvements </t>
  </si>
  <si>
    <t xml:space="preserve">Kirkby Regen allocations </t>
  </si>
  <si>
    <t xml:space="preserve">Annesley Regen  allocations  </t>
  </si>
  <si>
    <t>Annesley Art Project</t>
  </si>
  <si>
    <t>Lindleys Lane  Play/Youth Area</t>
  </si>
  <si>
    <t>Total Kirkby Area Committee</t>
  </si>
  <si>
    <t>Rural Area Committee</t>
  </si>
  <si>
    <t>C00077</t>
  </si>
  <si>
    <t>Holly Hill</t>
  </si>
  <si>
    <t>C00084</t>
  </si>
  <si>
    <t xml:space="preserve">Nottingham Road Recreation Ground/ Green Well </t>
  </si>
  <si>
    <t xml:space="preserve">Jubilee Recreation Ground </t>
  </si>
  <si>
    <t xml:space="preserve">POS  allocations </t>
  </si>
  <si>
    <t xml:space="preserve">Jacksdale bridge/ bridleway </t>
  </si>
  <si>
    <t>Total Rural Area Committee</t>
  </si>
  <si>
    <t>Expenditure</t>
  </si>
  <si>
    <t>T15029001</t>
  </si>
  <si>
    <t>T15029003</t>
  </si>
  <si>
    <t>T15029035</t>
  </si>
  <si>
    <t>T15029039</t>
  </si>
  <si>
    <t>Application Reference</t>
  </si>
  <si>
    <t>Description</t>
  </si>
  <si>
    <t xml:space="preserve">Land At Studfold Farm, Lindleys Lane- play area payment, incl. interest </t>
  </si>
  <si>
    <t>Farleys Lane(Torkard Court), Hucknall</t>
  </si>
  <si>
    <t>Market Stalls</t>
  </si>
  <si>
    <t>Re-phasing Traffic Lights Kirkby</t>
  </si>
  <si>
    <t xml:space="preserve">Papplewick Art </t>
  </si>
  <si>
    <t>Annesley Art</t>
  </si>
  <si>
    <t>SAFH</t>
  </si>
  <si>
    <t>Capital Programme</t>
  </si>
  <si>
    <t>£15k Skanska Grant</t>
  </si>
  <si>
    <t>see above</t>
  </si>
  <si>
    <t>2017/18</t>
  </si>
  <si>
    <t>S Public Realm</t>
  </si>
  <si>
    <t>Revenue</t>
  </si>
  <si>
    <t>S106/Cap Prog Difference</t>
  </si>
  <si>
    <t>D00162</t>
  </si>
  <si>
    <t>Retail Improvement Scheme</t>
  </si>
  <si>
    <t>Check</t>
  </si>
  <si>
    <t>£38k WREN 2015/16</t>
  </si>
  <si>
    <t>CP Remaining (After Expenditure)</t>
  </si>
  <si>
    <t>Annesley Regen</t>
  </si>
  <si>
    <t>Oakdale Homes</t>
  </si>
  <si>
    <t>Land To Rear 355-371A Watnall Road, Hucknall</t>
  </si>
  <si>
    <t>Public Realm Sutton</t>
  </si>
  <si>
    <t>L  J Evans</t>
  </si>
  <si>
    <t>Cook/Rodgers</t>
  </si>
  <si>
    <t>Former Annesley colliery</t>
  </si>
  <si>
    <t>V/2004/0484</t>
  </si>
  <si>
    <t>Land Off Cross Lane, Huthwaite</t>
  </si>
  <si>
    <t>AFF Housing</t>
  </si>
  <si>
    <t>Former Annesley Colliery- 1st tranche, Kirkby</t>
  </si>
  <si>
    <t>Land Adj. Golden Diamond, Stoney Street, Sutton in Ashfield - Sutton Public Realm</t>
  </si>
  <si>
    <t>Comments</t>
  </si>
  <si>
    <t>Phoenix Street</t>
  </si>
  <si>
    <t>Forest Design</t>
  </si>
  <si>
    <t>Wilson Bowden</t>
  </si>
  <si>
    <t>Penny Emma Way</t>
  </si>
  <si>
    <t>J A B Short Ltd</t>
  </si>
  <si>
    <t>Gladedale</t>
  </si>
  <si>
    <t>V/2010/0506 &amp; V/2006/0698</t>
  </si>
  <si>
    <t>C00199</t>
  </si>
  <si>
    <t>Jenny Burton Way</t>
  </si>
  <si>
    <t>Hill Crescent Play Area</t>
  </si>
  <si>
    <t>Ashfield Estate Play Area</t>
  </si>
  <si>
    <t>C00204</t>
  </si>
  <si>
    <t>C00205</t>
  </si>
  <si>
    <t>2018/19</t>
  </si>
  <si>
    <t>C00206</t>
  </si>
  <si>
    <t>Ada Lovelace Business Centre Development</t>
  </si>
  <si>
    <t>£144k LEP</t>
  </si>
  <si>
    <t>Total</t>
  </si>
  <si>
    <t>£20k SLC, £50k WREN</t>
  </si>
  <si>
    <t>JM Lewis and Co</t>
  </si>
  <si>
    <t>V/2011/0188</t>
  </si>
  <si>
    <t>Grange Farm, Papplewick Lane, Hucknall</t>
  </si>
  <si>
    <t>William May Developments</t>
  </si>
  <si>
    <t>V/2013/0493</t>
  </si>
  <si>
    <t xml:space="preserve">Land at Washdyke Lane Workshops, Washdyke Lane, </t>
  </si>
  <si>
    <t>V/2013/0656</t>
  </si>
  <si>
    <t xml:space="preserve">Former Annesley Colliery- art feature </t>
  </si>
  <si>
    <t xml:space="preserve">Former Annesley Colliery- 2nd tranche </t>
  </si>
  <si>
    <t>C00217</t>
  </si>
  <si>
    <t>C00218</t>
  </si>
  <si>
    <t>D00245</t>
  </si>
  <si>
    <t>C00088</t>
  </si>
  <si>
    <t>Annesley Traffic Lights</t>
  </si>
  <si>
    <t>GF Tab £13k move to Retail Imp Sch</t>
  </si>
  <si>
    <t xml:space="preserve">Muse </t>
  </si>
  <si>
    <t>V/2013/0123</t>
  </si>
  <si>
    <t>Rolls Royce, Watanll Road, Hucknall</t>
  </si>
  <si>
    <t xml:space="preserve">Education </t>
  </si>
  <si>
    <t>C04000</t>
  </si>
  <si>
    <t>Pathway to Work</t>
  </si>
  <si>
    <t>C00196</t>
  </si>
  <si>
    <t>Invoice raised, this is the residual balance of the invoice</t>
  </si>
  <si>
    <t>Mr Johal</t>
  </si>
  <si>
    <t>V/2014/0239</t>
  </si>
  <si>
    <t>Former Larwood Nursing Home, Main Road, Kirkby</t>
  </si>
  <si>
    <t>Land to the Side and Rear of Sandhills Bar Mansfield Road, Underwood</t>
  </si>
  <si>
    <t>INVOICE CANCELLED</t>
  </si>
  <si>
    <t>Allocation remaining during 17/18</t>
  </si>
  <si>
    <t xml:space="preserve">Allocation remaining as at 31st March 2017 </t>
  </si>
  <si>
    <t>17-18</t>
  </si>
  <si>
    <t xml:space="preserve">Aff. Housing </t>
  </si>
  <si>
    <t>2019/20</t>
  </si>
  <si>
    <t>C00170</t>
  </si>
  <si>
    <t>Hucknall Mining Memorial</t>
  </si>
  <si>
    <t xml:space="preserve">Hucknall &amp; Linby Com £3k </t>
  </si>
  <si>
    <t>C00222</t>
  </si>
  <si>
    <t>C00223</t>
  </si>
  <si>
    <t>C00225</t>
  </si>
  <si>
    <t>TOTAL AREA COMMITTEES</t>
  </si>
  <si>
    <t>None at present</t>
  </si>
  <si>
    <t>Revenue C/P not required</t>
  </si>
  <si>
    <t>Careers In Local Government</t>
  </si>
  <si>
    <t>£13k Shop front improvements</t>
  </si>
  <si>
    <t>GRAND TOTAL</t>
  </si>
  <si>
    <t>Hucknall</t>
  </si>
  <si>
    <t>Sutton</t>
  </si>
  <si>
    <t>Kirkby</t>
  </si>
  <si>
    <t>Rural</t>
  </si>
  <si>
    <t>General Fund</t>
  </si>
  <si>
    <t>S106 Allocations</t>
  </si>
  <si>
    <t>Capital</t>
  </si>
  <si>
    <t>further update required</t>
  </si>
  <si>
    <t xml:space="preserve">No </t>
  </si>
  <si>
    <t>Larwood Park, Kirkby in Ashfield, Notts</t>
  </si>
  <si>
    <t>Ed- Interest</t>
  </si>
  <si>
    <t>Art- Interest</t>
  </si>
  <si>
    <t>`</t>
  </si>
  <si>
    <t>Portland Road Residential Development</t>
  </si>
  <si>
    <r>
      <t xml:space="preserve">Huthwaite Welfare Park Management Plan: General Improvements - </t>
    </r>
    <r>
      <rPr>
        <sz val="11"/>
        <color theme="5" tint="-0.249977111117893"/>
        <rFont val="Calibri"/>
        <family val="2"/>
      </rPr>
      <t xml:space="preserve">check not a specific agreement </t>
    </r>
  </si>
  <si>
    <t>£8k LIS-NCC</t>
  </si>
  <si>
    <t>RPA £2k + NCC £19k</t>
  </si>
  <si>
    <r>
      <t xml:space="preserve">Kirkby footpaths/cycle ways - </t>
    </r>
    <r>
      <rPr>
        <sz val="11"/>
        <color theme="5" tint="-0.499984740745262"/>
        <rFont val="Calibri"/>
        <family val="2"/>
      </rPr>
      <t>must relate to Larwood Development</t>
    </r>
  </si>
  <si>
    <t>speak to J Jones</t>
  </si>
  <si>
    <t>£30k SLC money</t>
  </si>
  <si>
    <t>£42k SLC Money</t>
  </si>
  <si>
    <t>£15k SLC</t>
  </si>
  <si>
    <t>C00169</t>
  </si>
  <si>
    <t>Butlers Hill Allotment Access</t>
  </si>
  <si>
    <t>GF Tab</t>
  </si>
  <si>
    <t>Network Rail £5k</t>
  </si>
  <si>
    <t>Retention Payments?</t>
  </si>
  <si>
    <t>C00220</t>
  </si>
  <si>
    <t>C00224</t>
  </si>
  <si>
    <t>Leisure Transformation Programme</t>
  </si>
  <si>
    <t>Westman Homes</t>
  </si>
  <si>
    <t>TR6(refund)</t>
  </si>
  <si>
    <t>NCC</t>
  </si>
  <si>
    <t xml:space="preserve">V/2010/0433 </t>
  </si>
  <si>
    <t>Annesley Collierty Refund</t>
  </si>
  <si>
    <t>Land at Studfold Farm, Lindleys Lane, K/A</t>
  </si>
  <si>
    <t>Regen</t>
  </si>
  <si>
    <t>Regen(Lindley)</t>
  </si>
  <si>
    <t>Pinxton</t>
  </si>
  <si>
    <t>NCC £14k</t>
  </si>
  <si>
    <t>Hucknall Car Park - Titchfield Street</t>
  </si>
  <si>
    <t>C00230</t>
  </si>
  <si>
    <t>Moved above</t>
  </si>
  <si>
    <t>D00236</t>
  </si>
  <si>
    <t xml:space="preserve">Sutton Lawn Play Area </t>
  </si>
  <si>
    <t>New on CP</t>
  </si>
  <si>
    <t>C00221</t>
  </si>
  <si>
    <t>Morven Park Play Area</t>
  </si>
  <si>
    <t>D00228</t>
  </si>
  <si>
    <t>West Park Play Area</t>
  </si>
  <si>
    <t>C00231</t>
  </si>
  <si>
    <t>Larwood Park, Kirkby in Ashfield</t>
  </si>
  <si>
    <t xml:space="preserve">Affordable </t>
  </si>
  <si>
    <t>Affordable</t>
  </si>
  <si>
    <t>Global Developments</t>
  </si>
  <si>
    <t>V/2017/0344</t>
  </si>
  <si>
    <t>Land Fronting Unwin Road, Sutton</t>
  </si>
  <si>
    <t>Gard</t>
  </si>
  <si>
    <t>Broomhill Farm, Land to West Nottingham Rd</t>
  </si>
  <si>
    <t xml:space="preserve">Peveril Homes </t>
  </si>
  <si>
    <t>V/2017/0049</t>
  </si>
  <si>
    <t>Rippon Homes</t>
  </si>
  <si>
    <t>V/2012/0556</t>
  </si>
  <si>
    <t>Land Mansfield Road/Pleasley Rd, Sutton</t>
  </si>
  <si>
    <t>V/2019/0005</t>
  </si>
  <si>
    <t>Roayl Foresters Coronation Street, Sutton in Ashfield</t>
  </si>
  <si>
    <t>Mesj.</t>
  </si>
  <si>
    <t>Gleeson</t>
  </si>
  <si>
    <t>V/2011/0503</t>
  </si>
  <si>
    <t>Land Gilcroft/Vere Avenue</t>
  </si>
  <si>
    <t>Persimmon</t>
  </si>
  <si>
    <t>Annesley Colliery Hucknall</t>
  </si>
  <si>
    <t>Woodsett Homes</t>
  </si>
  <si>
    <t xml:space="preserve">Land Fronting Unwin Road, Sutton </t>
  </si>
  <si>
    <t>education</t>
  </si>
  <si>
    <t>Educations</t>
  </si>
  <si>
    <t>Home Life Supported Accom.</t>
  </si>
  <si>
    <t>V/2017/0329</t>
  </si>
  <si>
    <t>Land Adj. The Bluebell, Carsic Lane, Sutton in Ashfeld</t>
  </si>
  <si>
    <t>Regen. Sut</t>
  </si>
  <si>
    <t>Regen.</t>
  </si>
  <si>
    <t>Land at Washdyke lane, Hucknall</t>
  </si>
  <si>
    <t>Muse</t>
  </si>
  <si>
    <t>Rolls Royce, Watnall Road, Hucknall</t>
  </si>
  <si>
    <t>Travel</t>
  </si>
  <si>
    <t>Barratt</t>
  </si>
  <si>
    <t>v/2004/0356</t>
  </si>
  <si>
    <t>Papplewick Lane, Hucknall</t>
  </si>
  <si>
    <t>Johal Property Group</t>
  </si>
  <si>
    <t xml:space="preserve">NCC </t>
  </si>
  <si>
    <t>V/2006/0080</t>
  </si>
  <si>
    <t>Land to Rear of 355-371 Watnall Rd, Hucknall</t>
  </si>
  <si>
    <t>Invoice</t>
  </si>
  <si>
    <t>Westerman</t>
  </si>
  <si>
    <t xml:space="preserve">Larwood Park,Kirkby </t>
  </si>
  <si>
    <t>Affordable Hsg</t>
  </si>
  <si>
    <t xml:space="preserve">Monitoring </t>
  </si>
  <si>
    <t xml:space="preserve">Angela Caulton </t>
  </si>
  <si>
    <t>V/2018/0213</t>
  </si>
  <si>
    <t xml:space="preserve">The Quarry Stoneyford Road, Sutton </t>
  </si>
  <si>
    <t>Monitoring</t>
  </si>
  <si>
    <t>£661 064.28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</si>
</sst>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d/m/yy;@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9"/>
      <name val="Arial"/>
      <family val="2"/>
    </font>
    <font>
      <b/>
      <sz val="9"/>
      <name val="Calibri"/>
      <family val="2"/>
    </font>
    <font>
      <b/>
      <sz val="9"/>
      <name val="Arial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u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 tint="-0.499984740745262"/>
      <name val="Calibri"/>
      <family val="2"/>
    </font>
    <font>
      <sz val="11"/>
      <color theme="5" tint="-0.24997711111789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18">
    <xf numFmtId="0" fontId="0" fillId="0" borderId="0" xfId="0"/>
    <xf numFmtId="3" fontId="2" fillId="0" borderId="1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vertical="top" wrapText="1"/>
    </xf>
    <xf numFmtId="0" fontId="5" fillId="0" borderId="1" xfId="3" applyFont="1" applyBorder="1" applyAlignment="1">
      <alignment vertical="center" wrapText="1"/>
    </xf>
    <xf numFmtId="0" fontId="5" fillId="0" borderId="1" xfId="3" applyFont="1" applyBorder="1" applyAlignment="1">
      <alignment vertical="center"/>
    </xf>
    <xf numFmtId="3" fontId="5" fillId="0" borderId="1" xfId="3" applyNumberFormat="1" applyFont="1" applyBorder="1" applyAlignment="1">
      <alignment vertical="center"/>
    </xf>
    <xf numFmtId="0" fontId="5" fillId="0" borderId="5" xfId="3" applyFont="1" applyBorder="1" applyAlignment="1">
      <alignment vertical="center" wrapText="1"/>
    </xf>
    <xf numFmtId="3" fontId="2" fillId="0" borderId="10" xfId="3" applyNumberFormat="1" applyFont="1" applyBorder="1" applyAlignment="1">
      <alignment vertical="center" wrapText="1"/>
    </xf>
    <xf numFmtId="3" fontId="5" fillId="0" borderId="10" xfId="3" applyNumberFormat="1" applyFont="1" applyBorder="1" applyAlignment="1">
      <alignment vertical="center"/>
    </xf>
    <xf numFmtId="3" fontId="2" fillId="0" borderId="5" xfId="3" applyNumberFormat="1" applyFont="1" applyBorder="1" applyAlignment="1">
      <alignment vertical="center" wrapText="1"/>
    </xf>
    <xf numFmtId="0" fontId="5" fillId="0" borderId="0" xfId="3" applyFont="1" applyAlignment="1">
      <alignment vertical="top" wrapText="1"/>
    </xf>
    <xf numFmtId="3" fontId="5" fillId="0" borderId="0" xfId="3" applyNumberFormat="1" applyFont="1" applyAlignment="1">
      <alignment vertical="top" wrapText="1"/>
    </xf>
    <xf numFmtId="0" fontId="6" fillId="0" borderId="0" xfId="3" applyFont="1" applyAlignment="1">
      <alignment vertical="top" wrapText="1"/>
    </xf>
    <xf numFmtId="0" fontId="5" fillId="0" borderId="2" xfId="3" applyFont="1" applyBorder="1" applyAlignment="1">
      <alignment vertical="top" wrapText="1"/>
    </xf>
    <xf numFmtId="0" fontId="5" fillId="0" borderId="1" xfId="3" applyFont="1" applyBorder="1" applyAlignment="1">
      <alignment horizontal="left" vertical="top" wrapText="1"/>
    </xf>
    <xf numFmtId="0" fontId="7" fillId="0" borderId="1" xfId="3" applyFont="1" applyBorder="1" applyAlignment="1">
      <alignment vertical="top" wrapText="1"/>
    </xf>
    <xf numFmtId="0" fontId="8" fillId="0" borderId="0" xfId="3" applyFont="1" applyAlignment="1">
      <alignment vertical="top" wrapText="1"/>
    </xf>
    <xf numFmtId="0" fontId="7" fillId="0" borderId="1" xfId="3" applyFont="1" applyBorder="1" applyAlignment="1">
      <alignment horizontal="left" vertical="top" wrapText="1"/>
    </xf>
    <xf numFmtId="0" fontId="7" fillId="0" borderId="3" xfId="3" applyFont="1" applyBorder="1" applyAlignment="1">
      <alignment horizontal="left" vertical="top" wrapText="1"/>
    </xf>
    <xf numFmtId="0" fontId="5" fillId="0" borderId="1" xfId="3" applyFont="1" applyBorder="1" applyAlignment="1">
      <alignment vertical="top" wrapText="1"/>
    </xf>
    <xf numFmtId="0" fontId="10" fillId="0" borderId="1" xfId="3" applyFont="1" applyBorder="1" applyAlignment="1">
      <alignment horizontal="center" vertical="top" wrapText="1"/>
    </xf>
    <xf numFmtId="0" fontId="15" fillId="0" borderId="1" xfId="3" applyFont="1" applyBorder="1" applyAlignment="1">
      <alignment vertical="top" wrapText="1"/>
    </xf>
    <xf numFmtId="0" fontId="9" fillId="0" borderId="1" xfId="3" applyFont="1" applyBorder="1" applyAlignment="1">
      <alignment vertical="top" wrapText="1"/>
    </xf>
    <xf numFmtId="0" fontId="10" fillId="0" borderId="1" xfId="3" applyFont="1" applyBorder="1" applyAlignment="1">
      <alignment horizontal="left" vertical="top" wrapText="1"/>
    </xf>
    <xf numFmtId="3" fontId="10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vertical="top" wrapText="1"/>
    </xf>
    <xf numFmtId="3" fontId="10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vertical="top" wrapText="1"/>
    </xf>
    <xf numFmtId="4" fontId="5" fillId="0" borderId="1" xfId="3" applyNumberFormat="1" applyFont="1" applyBorder="1" applyAlignment="1">
      <alignment vertical="center" wrapText="1"/>
    </xf>
    <xf numFmtId="4" fontId="5" fillId="6" borderId="1" xfId="3" applyNumberFormat="1" applyFont="1" applyFill="1" applyBorder="1" applyAlignment="1">
      <alignment vertical="center" wrapText="1"/>
    </xf>
    <xf numFmtId="0" fontId="6" fillId="0" borderId="0" xfId="3" applyFont="1" applyAlignment="1">
      <alignment vertical="center" wrapText="1"/>
    </xf>
    <xf numFmtId="4" fontId="2" fillId="0" borderId="1" xfId="3" applyNumberFormat="1" applyFont="1" applyBorder="1" applyAlignment="1">
      <alignment vertical="center" wrapText="1"/>
    </xf>
    <xf numFmtId="4" fontId="5" fillId="2" borderId="1" xfId="3" applyNumberFormat="1" applyFont="1" applyFill="1" applyBorder="1" applyAlignment="1">
      <alignment vertical="center" wrapText="1"/>
    </xf>
    <xf numFmtId="4" fontId="5" fillId="0" borderId="1" xfId="3" applyNumberFormat="1" applyFont="1" applyBorder="1" applyAlignment="1">
      <alignment vertical="center"/>
    </xf>
    <xf numFmtId="3" fontId="6" fillId="0" borderId="0" xfId="3" applyNumberFormat="1" applyFont="1" applyAlignment="1">
      <alignment vertical="center"/>
    </xf>
    <xf numFmtId="0" fontId="11" fillId="0" borderId="1" xfId="3" applyFont="1" applyBorder="1" applyAlignment="1">
      <alignment vertical="center" wrapText="1"/>
    </xf>
    <xf numFmtId="4" fontId="5" fillId="0" borderId="9" xfId="3" applyNumberFormat="1" applyFont="1" applyBorder="1" applyAlignment="1">
      <alignment vertical="center" wrapText="1"/>
    </xf>
    <xf numFmtId="4" fontId="12" fillId="0" borderId="1" xfId="3" applyNumberFormat="1" applyFont="1" applyBorder="1" applyAlignment="1">
      <alignment vertical="center" wrapText="1"/>
    </xf>
    <xf numFmtId="0" fontId="5" fillId="0" borderId="3" xfId="3" applyFont="1" applyBorder="1" applyAlignment="1">
      <alignment vertical="center" wrapText="1"/>
    </xf>
    <xf numFmtId="4" fontId="5" fillId="0" borderId="5" xfId="3" applyNumberFormat="1" applyFont="1" applyBorder="1" applyAlignment="1">
      <alignment vertical="center" wrapText="1"/>
    </xf>
    <xf numFmtId="4" fontId="5" fillId="2" borderId="5" xfId="3" applyNumberFormat="1" applyFont="1" applyFill="1" applyBorder="1" applyAlignment="1">
      <alignment vertical="center" wrapText="1"/>
    </xf>
    <xf numFmtId="4" fontId="5" fillId="0" borderId="13" xfId="3" applyNumberFormat="1" applyFont="1" applyBorder="1" applyAlignment="1">
      <alignment vertical="center" wrapText="1"/>
    </xf>
    <xf numFmtId="4" fontId="12" fillId="0" borderId="5" xfId="3" applyNumberFormat="1" applyFont="1" applyBorder="1" applyAlignment="1">
      <alignment vertical="center" wrapText="1"/>
    </xf>
    <xf numFmtId="0" fontId="5" fillId="0" borderId="11" xfId="3" applyFont="1" applyBorder="1" applyAlignment="1">
      <alignment vertical="center" wrapText="1"/>
    </xf>
    <xf numFmtId="0" fontId="11" fillId="0" borderId="5" xfId="3" applyFont="1" applyBorder="1" applyAlignment="1">
      <alignment vertical="center" wrapText="1"/>
    </xf>
    <xf numFmtId="0" fontId="11" fillId="0" borderId="6" xfId="3" applyFont="1" applyBorder="1" applyAlignment="1">
      <alignment vertical="center" wrapText="1"/>
    </xf>
    <xf numFmtId="0" fontId="10" fillId="0" borderId="7" xfId="3" applyFont="1" applyBorder="1" applyAlignment="1">
      <alignment vertical="center" wrapText="1"/>
    </xf>
    <xf numFmtId="4" fontId="5" fillId="0" borderId="7" xfId="3" applyNumberFormat="1" applyFont="1" applyBorder="1" applyAlignment="1">
      <alignment vertical="center" wrapText="1"/>
    </xf>
    <xf numFmtId="4" fontId="10" fillId="0" borderId="7" xfId="3" applyNumberFormat="1" applyFont="1" applyBorder="1" applyAlignment="1">
      <alignment vertical="center" wrapText="1"/>
    </xf>
    <xf numFmtId="4" fontId="10" fillId="0" borderId="8" xfId="3" applyNumberFormat="1" applyFont="1" applyBorder="1" applyAlignment="1">
      <alignment vertical="center" wrapText="1"/>
    </xf>
    <xf numFmtId="3" fontId="10" fillId="0" borderId="1" xfId="3" applyNumberFormat="1" applyFont="1" applyBorder="1" applyAlignment="1">
      <alignment vertical="center" wrapText="1"/>
    </xf>
    <xf numFmtId="0" fontId="11" fillId="0" borderId="10" xfId="3" applyFont="1" applyBorder="1" applyAlignment="1">
      <alignment vertical="center" wrapText="1"/>
    </xf>
    <xf numFmtId="0" fontId="10" fillId="0" borderId="10" xfId="3" applyFont="1" applyBorder="1" applyAlignment="1">
      <alignment vertical="top" wrapText="1"/>
    </xf>
    <xf numFmtId="4" fontId="5" fillId="0" borderId="10" xfId="3" applyNumberFormat="1" applyFont="1" applyBorder="1" applyAlignment="1">
      <alignment vertical="center" wrapText="1"/>
    </xf>
    <xf numFmtId="4" fontId="10" fillId="0" borderId="10" xfId="3" applyNumberFormat="1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4" fontId="10" fillId="0" borderId="1" xfId="3" applyNumberFormat="1" applyFont="1" applyBorder="1" applyAlignment="1">
      <alignment vertical="center" wrapText="1"/>
    </xf>
    <xf numFmtId="0" fontId="5" fillId="0" borderId="14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4" fontId="5" fillId="7" borderId="5" xfId="3" applyNumberFormat="1" applyFont="1" applyFill="1" applyBorder="1" applyAlignment="1">
      <alignment vertical="center" wrapText="1"/>
    </xf>
    <xf numFmtId="4" fontId="10" fillId="0" borderId="10" xfId="4" applyNumberFormat="1" applyFont="1" applyFill="1" applyBorder="1" applyAlignment="1" applyProtection="1">
      <alignment vertical="center" wrapText="1"/>
    </xf>
    <xf numFmtId="4" fontId="10" fillId="0" borderId="1" xfId="4" applyNumberFormat="1" applyFont="1" applyFill="1" applyBorder="1" applyAlignment="1" applyProtection="1">
      <alignment vertical="center" wrapText="1"/>
    </xf>
    <xf numFmtId="4" fontId="10" fillId="2" borderId="1" xfId="3" applyNumberFormat="1" applyFont="1" applyFill="1" applyBorder="1" applyAlignment="1">
      <alignment vertical="center" wrapText="1"/>
    </xf>
    <xf numFmtId="4" fontId="5" fillId="0" borderId="5" xfId="4" applyNumberFormat="1" applyFont="1" applyFill="1" applyBorder="1" applyAlignment="1" applyProtection="1">
      <alignment vertical="center" wrapText="1"/>
    </xf>
    <xf numFmtId="4" fontId="12" fillId="0" borderId="15" xfId="3" applyNumberFormat="1" applyFont="1" applyBorder="1" applyAlignment="1">
      <alignment vertical="center" wrapText="1"/>
    </xf>
    <xf numFmtId="3" fontId="10" fillId="0" borderId="5" xfId="3" applyNumberFormat="1" applyFont="1" applyBorder="1" applyAlignment="1">
      <alignment vertical="center" wrapText="1"/>
    </xf>
    <xf numFmtId="0" fontId="5" fillId="0" borderId="14" xfId="3" applyFont="1" applyBorder="1" applyAlignment="1">
      <alignment vertical="top" wrapText="1"/>
    </xf>
    <xf numFmtId="0" fontId="5" fillId="0" borderId="6" xfId="3" applyFont="1" applyBorder="1" applyAlignment="1">
      <alignment vertical="top" wrapText="1"/>
    </xf>
    <xf numFmtId="0" fontId="10" fillId="0" borderId="7" xfId="3" applyFont="1" applyBorder="1" applyAlignment="1">
      <alignment vertical="top" wrapText="1"/>
    </xf>
    <xf numFmtId="4" fontId="10" fillId="0" borderId="7" xfId="3" applyNumberFormat="1" applyFont="1" applyBorder="1" applyAlignment="1">
      <alignment vertical="top" wrapText="1"/>
    </xf>
    <xf numFmtId="4" fontId="10" fillId="0" borderId="13" xfId="3" applyNumberFormat="1" applyFont="1" applyBorder="1" applyAlignment="1">
      <alignment vertical="center" wrapText="1"/>
    </xf>
    <xf numFmtId="4" fontId="10" fillId="0" borderId="1" xfId="4" applyNumberFormat="1" applyFont="1" applyFill="1" applyBorder="1" applyAlignment="1" applyProtection="1">
      <alignment vertical="top" wrapText="1"/>
    </xf>
    <xf numFmtId="4" fontId="5" fillId="0" borderId="1" xfId="3" applyNumberFormat="1" applyFont="1" applyBorder="1" applyAlignment="1">
      <alignment vertical="top" wrapText="1"/>
    </xf>
    <xf numFmtId="3" fontId="10" fillId="0" borderId="7" xfId="3" applyNumberFormat="1" applyFont="1" applyBorder="1" applyAlignment="1">
      <alignment vertical="top" wrapText="1"/>
    </xf>
    <xf numFmtId="3" fontId="10" fillId="3" borderId="7" xfId="3" applyNumberFormat="1" applyFont="1" applyFill="1" applyBorder="1" applyAlignment="1">
      <alignment vertical="top" wrapText="1"/>
    </xf>
    <xf numFmtId="0" fontId="10" fillId="0" borderId="0" xfId="3" applyFont="1" applyAlignment="1">
      <alignment vertical="top" wrapText="1"/>
    </xf>
    <xf numFmtId="0" fontId="5" fillId="0" borderId="10" xfId="3" applyFont="1" applyBorder="1" applyAlignment="1">
      <alignment vertical="top" wrapText="1"/>
    </xf>
    <xf numFmtId="4" fontId="10" fillId="0" borderId="10" xfId="3" applyNumberFormat="1" applyFont="1" applyBorder="1" applyAlignment="1">
      <alignment vertical="top" wrapText="1"/>
    </xf>
    <xf numFmtId="3" fontId="10" fillId="0" borderId="10" xfId="3" applyNumberFormat="1" applyFont="1" applyBorder="1" applyAlignment="1">
      <alignment vertical="top" wrapText="1"/>
    </xf>
    <xf numFmtId="4" fontId="10" fillId="0" borderId="1" xfId="3" applyNumberFormat="1" applyFont="1" applyBorder="1" applyAlignment="1">
      <alignment horizontal="center" vertical="center"/>
    </xf>
    <xf numFmtId="3" fontId="10" fillId="0" borderId="0" xfId="3" applyNumberFormat="1" applyFont="1" applyAlignment="1">
      <alignment vertical="center"/>
    </xf>
    <xf numFmtId="4" fontId="10" fillId="0" borderId="1" xfId="3" applyNumberFormat="1" applyFont="1" applyBorder="1" applyAlignment="1">
      <alignment vertical="top" wrapText="1"/>
    </xf>
    <xf numFmtId="4" fontId="10" fillId="0" borderId="1" xfId="3" applyNumberFormat="1" applyFont="1" applyBorder="1" applyAlignment="1">
      <alignment horizontal="center" vertical="center" wrapText="1"/>
    </xf>
    <xf numFmtId="4" fontId="5" fillId="2" borderId="1" xfId="3" applyNumberFormat="1" applyFont="1" applyFill="1" applyBorder="1" applyAlignment="1">
      <alignment vertical="top" wrapText="1"/>
    </xf>
    <xf numFmtId="0" fontId="5" fillId="0" borderId="1" xfId="3" applyFont="1" applyBorder="1" applyAlignment="1">
      <alignment vertical="top"/>
    </xf>
    <xf numFmtId="3" fontId="11" fillId="0" borderId="1" xfId="3" applyNumberFormat="1" applyFont="1" applyBorder="1" applyAlignment="1">
      <alignment vertical="top" wrapText="1"/>
    </xf>
    <xf numFmtId="4" fontId="11" fillId="0" borderId="1" xfId="3" applyNumberFormat="1" applyFont="1" applyBorder="1" applyAlignment="1">
      <alignment vertical="top" wrapText="1"/>
    </xf>
    <xf numFmtId="4" fontId="5" fillId="6" borderId="1" xfId="3" applyNumberFormat="1" applyFont="1" applyFill="1" applyBorder="1" applyAlignment="1">
      <alignment vertical="top" wrapText="1"/>
    </xf>
    <xf numFmtId="4" fontId="5" fillId="0" borderId="1" xfId="4" applyNumberFormat="1" applyFont="1" applyFill="1" applyBorder="1" applyAlignment="1" applyProtection="1">
      <alignment vertical="top" wrapText="1"/>
    </xf>
    <xf numFmtId="4" fontId="5" fillId="7" borderId="1" xfId="3" applyNumberFormat="1" applyFont="1" applyFill="1" applyBorder="1" applyAlignment="1">
      <alignment vertical="top" wrapText="1"/>
    </xf>
    <xf numFmtId="4" fontId="10" fillId="0" borderId="8" xfId="3" applyNumberFormat="1" applyFont="1" applyBorder="1" applyAlignment="1">
      <alignment vertical="top" wrapText="1"/>
    </xf>
    <xf numFmtId="4" fontId="5" fillId="0" borderId="9" xfId="4" applyNumberFormat="1" applyFont="1" applyFill="1" applyBorder="1" applyAlignment="1" applyProtection="1">
      <alignment vertical="top" wrapText="1"/>
    </xf>
    <xf numFmtId="3" fontId="10" fillId="0" borderId="1" xfId="3" applyNumberFormat="1" applyFont="1" applyBorder="1" applyAlignment="1">
      <alignment vertical="center"/>
    </xf>
    <xf numFmtId="0" fontId="5" fillId="0" borderId="5" xfId="3" applyFont="1" applyBorder="1" applyAlignment="1">
      <alignment vertical="top" wrapText="1"/>
    </xf>
    <xf numFmtId="0" fontId="5" fillId="0" borderId="3" xfId="3" applyFont="1" applyBorder="1" applyAlignment="1">
      <alignment vertical="top" wrapText="1"/>
    </xf>
    <xf numFmtId="4" fontId="10" fillId="0" borderId="8" xfId="4" applyNumberFormat="1" applyFont="1" applyFill="1" applyBorder="1" applyAlignment="1" applyProtection="1">
      <alignment vertical="top" wrapText="1"/>
    </xf>
    <xf numFmtId="4" fontId="5" fillId="0" borderId="9" xfId="3" applyNumberFormat="1" applyFont="1" applyBorder="1" applyAlignment="1">
      <alignment vertical="top" wrapText="1"/>
    </xf>
    <xf numFmtId="4" fontId="10" fillId="0" borderId="10" xfId="4" applyNumberFormat="1" applyFont="1" applyFill="1" applyBorder="1" applyAlignment="1" applyProtection="1">
      <alignment vertical="top" wrapText="1"/>
    </xf>
    <xf numFmtId="0" fontId="10" fillId="0" borderId="5" xfId="3" applyFont="1" applyBorder="1" applyAlignment="1">
      <alignment vertical="top" wrapText="1"/>
    </xf>
    <xf numFmtId="4" fontId="10" fillId="0" borderId="5" xfId="4" applyNumberFormat="1" applyFont="1" applyFill="1" applyBorder="1" applyAlignment="1" applyProtection="1">
      <alignment vertical="top" wrapText="1"/>
    </xf>
    <xf numFmtId="4" fontId="5" fillId="0" borderId="13" xfId="3" applyNumberFormat="1" applyFont="1" applyBorder="1" applyAlignment="1">
      <alignment vertical="top" wrapText="1"/>
    </xf>
    <xf numFmtId="4" fontId="5" fillId="0" borderId="5" xfId="3" applyNumberFormat="1" applyFont="1" applyBorder="1" applyAlignment="1">
      <alignment vertical="top" wrapText="1"/>
    </xf>
    <xf numFmtId="4" fontId="13" fillId="0" borderId="1" xfId="3" applyNumberFormat="1" applyFont="1" applyBorder="1" applyAlignment="1">
      <alignment vertical="top" wrapText="1"/>
    </xf>
    <xf numFmtId="3" fontId="2" fillId="5" borderId="1" xfId="3" applyNumberFormat="1" applyFont="1" applyFill="1" applyBorder="1" applyAlignment="1">
      <alignment vertical="center" wrapText="1"/>
    </xf>
    <xf numFmtId="4" fontId="5" fillId="2" borderId="1" xfId="3" applyNumberFormat="1" applyFont="1" applyFill="1" applyBorder="1" applyAlignment="1">
      <alignment vertical="center"/>
    </xf>
    <xf numFmtId="4" fontId="5" fillId="0" borderId="1" xfId="3" applyNumberFormat="1" applyFont="1" applyBorder="1"/>
    <xf numFmtId="3" fontId="5" fillId="0" borderId="1" xfId="3" applyNumberFormat="1" applyFont="1" applyBorder="1"/>
    <xf numFmtId="3" fontId="6" fillId="0" borderId="0" xfId="3" applyNumberFormat="1" applyFont="1"/>
    <xf numFmtId="4" fontId="5" fillId="0" borderId="1" xfId="4" applyNumberFormat="1" applyFont="1" applyFill="1" applyBorder="1" applyAlignment="1" applyProtection="1">
      <alignment vertical="center" wrapText="1"/>
    </xf>
    <xf numFmtId="3" fontId="2" fillId="8" borderId="1" xfId="3" applyNumberFormat="1" applyFont="1" applyFill="1" applyBorder="1" applyAlignment="1">
      <alignment vertical="center" wrapText="1"/>
    </xf>
    <xf numFmtId="4" fontId="5" fillId="6" borderId="1" xfId="3" applyNumberFormat="1" applyFont="1" applyFill="1" applyBorder="1" applyAlignment="1">
      <alignment vertical="center"/>
    </xf>
    <xf numFmtId="3" fontId="2" fillId="0" borderId="3" xfId="3" applyNumberFormat="1" applyFont="1" applyBorder="1" applyAlignment="1">
      <alignment vertical="center" wrapText="1"/>
    </xf>
    <xf numFmtId="3" fontId="2" fillId="0" borderId="6" xfId="3" applyNumberFormat="1" applyFont="1" applyBorder="1" applyAlignment="1">
      <alignment vertical="center" wrapText="1"/>
    </xf>
    <xf numFmtId="3" fontId="14" fillId="0" borderId="7" xfId="3" applyNumberFormat="1" applyFont="1" applyBorder="1" applyAlignment="1">
      <alignment vertical="center" wrapText="1"/>
    </xf>
    <xf numFmtId="4" fontId="2" fillId="0" borderId="7" xfId="3" applyNumberFormat="1" applyFont="1" applyBorder="1" applyAlignment="1">
      <alignment vertical="center" wrapText="1"/>
    </xf>
    <xf numFmtId="4" fontId="14" fillId="0" borderId="7" xfId="3" applyNumberFormat="1" applyFont="1" applyBorder="1" applyAlignment="1">
      <alignment vertical="center" wrapText="1"/>
    </xf>
    <xf numFmtId="4" fontId="10" fillId="0" borderId="8" xfId="3" applyNumberFormat="1" applyFont="1" applyBorder="1" applyAlignment="1">
      <alignment vertical="center"/>
    </xf>
    <xf numFmtId="4" fontId="2" fillId="0" borderId="10" xfId="3" applyNumberFormat="1" applyFont="1" applyBorder="1" applyAlignment="1">
      <alignment vertical="center" wrapText="1"/>
    </xf>
    <xf numFmtId="4" fontId="10" fillId="0" borderId="10" xfId="3" applyNumberFormat="1" applyFont="1" applyBorder="1" applyAlignment="1">
      <alignment vertical="center"/>
    </xf>
    <xf numFmtId="4" fontId="10" fillId="0" borderId="1" xfId="3" applyNumberFormat="1" applyFont="1" applyBorder="1" applyAlignment="1">
      <alignment vertical="center"/>
    </xf>
    <xf numFmtId="3" fontId="2" fillId="5" borderId="10" xfId="3" applyNumberFormat="1" applyFont="1" applyFill="1" applyBorder="1" applyAlignment="1">
      <alignment vertical="center" wrapText="1"/>
    </xf>
    <xf numFmtId="4" fontId="5" fillId="0" borderId="10" xfId="3" applyNumberFormat="1" applyFont="1" applyBorder="1" applyAlignment="1">
      <alignment vertical="center"/>
    </xf>
    <xf numFmtId="4" fontId="2" fillId="0" borderId="5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vertical="top"/>
    </xf>
    <xf numFmtId="4" fontId="5" fillId="7" borderId="5" xfId="3" applyNumberFormat="1" applyFont="1" applyFill="1" applyBorder="1" applyAlignment="1">
      <alignment vertical="top" wrapText="1"/>
    </xf>
    <xf numFmtId="4" fontId="5" fillId="0" borderId="12" xfId="3" applyNumberFormat="1" applyFont="1" applyBorder="1"/>
    <xf numFmtId="4" fontId="5" fillId="2" borderId="5" xfId="3" applyNumberFormat="1" applyFont="1" applyFill="1" applyBorder="1" applyAlignment="1">
      <alignment vertical="top" wrapText="1"/>
    </xf>
    <xf numFmtId="4" fontId="5" fillId="0" borderId="13" xfId="3" applyNumberFormat="1" applyFont="1" applyBorder="1"/>
    <xf numFmtId="4" fontId="14" fillId="0" borderId="8" xfId="3" applyNumberFormat="1" applyFont="1" applyBorder="1" applyAlignment="1">
      <alignment vertical="center" wrapText="1"/>
    </xf>
    <xf numFmtId="4" fontId="10" fillId="0" borderId="10" xfId="3" applyNumberFormat="1" applyFont="1" applyBorder="1"/>
    <xf numFmtId="4" fontId="10" fillId="0" borderId="1" xfId="3" applyNumberFormat="1" applyFont="1" applyBorder="1"/>
    <xf numFmtId="0" fontId="5" fillId="0" borderId="1" xfId="3" applyFont="1" applyBorder="1" applyAlignment="1">
      <alignment wrapText="1"/>
    </xf>
    <xf numFmtId="4" fontId="5" fillId="0" borderId="1" xfId="3" applyNumberFormat="1" applyFont="1" applyBorder="1" applyAlignment="1">
      <alignment wrapText="1"/>
    </xf>
    <xf numFmtId="4" fontId="5" fillId="6" borderId="1" xfId="4" applyNumberFormat="1" applyFont="1" applyFill="1" applyBorder="1" applyAlignment="1" applyProtection="1">
      <alignment vertical="top" wrapText="1"/>
    </xf>
    <xf numFmtId="3" fontId="2" fillId="0" borderId="14" xfId="3" applyNumberFormat="1" applyFont="1" applyBorder="1" applyAlignment="1">
      <alignment vertical="center" wrapText="1"/>
    </xf>
    <xf numFmtId="3" fontId="5" fillId="0" borderId="5" xfId="3" applyNumberFormat="1" applyFont="1" applyBorder="1" applyAlignment="1">
      <alignment vertical="center" wrapText="1"/>
    </xf>
    <xf numFmtId="4" fontId="5" fillId="0" borderId="5" xfId="3" applyNumberFormat="1" applyFont="1" applyBorder="1" applyAlignment="1">
      <alignment vertical="center"/>
    </xf>
    <xf numFmtId="4" fontId="5" fillId="0" borderId="5" xfId="3" applyNumberFormat="1" applyFont="1" applyBorder="1"/>
    <xf numFmtId="4" fontId="5" fillId="0" borderId="5" xfId="3" applyNumberFormat="1" applyFont="1" applyBorder="1" applyAlignment="1">
      <alignment wrapText="1"/>
    </xf>
    <xf numFmtId="4" fontId="10" fillId="0" borderId="8" xfId="3" applyNumberFormat="1" applyFont="1" applyBorder="1"/>
    <xf numFmtId="4" fontId="5" fillId="0" borderId="10" xfId="3" applyNumberFormat="1" applyFont="1" applyBorder="1"/>
    <xf numFmtId="4" fontId="5" fillId="0" borderId="10" xfId="3" applyNumberFormat="1" applyFont="1" applyBorder="1" applyAlignment="1">
      <alignment vertical="top" wrapText="1"/>
    </xf>
    <xf numFmtId="4" fontId="5" fillId="0" borderId="5" xfId="4" applyNumberFormat="1" applyFont="1" applyFill="1" applyBorder="1" applyAlignment="1" applyProtection="1">
      <alignment vertical="top" wrapText="1"/>
    </xf>
    <xf numFmtId="3" fontId="5" fillId="0" borderId="1" xfId="3" applyNumberFormat="1" applyFont="1" applyBorder="1" applyAlignment="1">
      <alignment horizontal="left" vertical="top" wrapText="1"/>
    </xf>
    <xf numFmtId="4" fontId="5" fillId="0" borderId="1" xfId="3" applyNumberFormat="1" applyFont="1" applyBorder="1" applyAlignment="1">
      <alignment horizontal="left" vertical="top" wrapText="1"/>
    </xf>
    <xf numFmtId="0" fontId="5" fillId="0" borderId="5" xfId="3" applyFont="1" applyBorder="1"/>
    <xf numFmtId="0" fontId="10" fillId="0" borderId="7" xfId="3" applyFont="1" applyBorder="1"/>
    <xf numFmtId="4" fontId="5" fillId="0" borderId="7" xfId="3" applyNumberFormat="1" applyFont="1" applyBorder="1"/>
    <xf numFmtId="4" fontId="10" fillId="0" borderId="7" xfId="3" applyNumberFormat="1" applyFont="1" applyBorder="1"/>
    <xf numFmtId="0" fontId="5" fillId="0" borderId="12" xfId="3" applyFont="1" applyBorder="1" applyAlignment="1">
      <alignment vertical="top" wrapText="1"/>
    </xf>
    <xf numFmtId="0" fontId="10" fillId="0" borderId="12" xfId="3" applyFont="1" applyBorder="1" applyAlignment="1">
      <alignment vertical="top" wrapText="1"/>
    </xf>
    <xf numFmtId="4" fontId="10" fillId="0" borderId="12" xfId="3" applyNumberFormat="1" applyFont="1" applyBorder="1" applyAlignment="1">
      <alignment vertical="top" wrapText="1"/>
    </xf>
    <xf numFmtId="4" fontId="10" fillId="0" borderId="12" xfId="4" applyNumberFormat="1" applyFont="1" applyFill="1" applyBorder="1" applyAlignment="1" applyProtection="1">
      <alignment vertical="top" wrapText="1"/>
    </xf>
    <xf numFmtId="3" fontId="5" fillId="0" borderId="5" xfId="3" applyNumberFormat="1" applyFont="1" applyBorder="1" applyAlignment="1">
      <alignment vertical="center"/>
    </xf>
    <xf numFmtId="0" fontId="6" fillId="0" borderId="5" xfId="3" applyFont="1" applyBorder="1" applyAlignment="1">
      <alignment vertical="top" wrapText="1"/>
    </xf>
    <xf numFmtId="0" fontId="5" fillId="0" borderId="7" xfId="3" applyFont="1" applyBorder="1" applyAlignment="1">
      <alignment vertical="top" wrapText="1"/>
    </xf>
    <xf numFmtId="4" fontId="10" fillId="6" borderId="8" xfId="3" applyNumberFormat="1" applyFont="1" applyFill="1" applyBorder="1" applyAlignment="1">
      <alignment vertical="top" wrapText="1"/>
    </xf>
    <xf numFmtId="0" fontId="6" fillId="0" borderId="10" xfId="3" applyFont="1" applyBorder="1" applyAlignment="1">
      <alignment vertical="top" wrapText="1"/>
    </xf>
    <xf numFmtId="4" fontId="5" fillId="2" borderId="1" xfId="3" applyNumberFormat="1" applyFont="1" applyFill="1" applyBorder="1" applyAlignment="1">
      <alignment wrapText="1"/>
    </xf>
    <xf numFmtId="4" fontId="10" fillId="0" borderId="1" xfId="3" applyNumberFormat="1" applyFont="1" applyBorder="1" applyAlignment="1">
      <alignment wrapText="1"/>
    </xf>
    <xf numFmtId="4" fontId="13" fillId="0" borderId="5" xfId="3" applyNumberFormat="1" applyFont="1" applyBorder="1" applyAlignment="1">
      <alignment vertical="top" wrapText="1"/>
    </xf>
    <xf numFmtId="4" fontId="13" fillId="0" borderId="7" xfId="3" applyNumberFormat="1" applyFont="1" applyBorder="1" applyAlignment="1">
      <alignment vertical="top" wrapText="1"/>
    </xf>
    <xf numFmtId="4" fontId="10" fillId="0" borderId="7" xfId="3" applyNumberFormat="1" applyFont="1" applyBorder="1" applyAlignment="1">
      <alignment wrapText="1"/>
    </xf>
    <xf numFmtId="3" fontId="10" fillId="0" borderId="7" xfId="3" applyNumberFormat="1" applyFont="1" applyBorder="1" applyAlignment="1">
      <alignment wrapText="1"/>
    </xf>
    <xf numFmtId="4" fontId="10" fillId="6" borderId="8" xfId="3" applyNumberFormat="1" applyFont="1" applyFill="1" applyBorder="1" applyAlignment="1">
      <alignment wrapText="1"/>
    </xf>
    <xf numFmtId="4" fontId="13" fillId="0" borderId="10" xfId="3" applyNumberFormat="1" applyFont="1" applyBorder="1" applyAlignment="1">
      <alignment vertical="top" wrapText="1"/>
    </xf>
    <xf numFmtId="4" fontId="5" fillId="0" borderId="10" xfId="3" applyNumberFormat="1" applyFont="1" applyBorder="1" applyAlignment="1">
      <alignment wrapText="1"/>
    </xf>
    <xf numFmtId="0" fontId="10" fillId="0" borderId="0" xfId="3" applyFont="1" applyAlignment="1">
      <alignment horizontal="right" vertical="top"/>
    </xf>
    <xf numFmtId="0" fontId="5" fillId="0" borderId="0" xfId="3" applyFont="1" applyAlignment="1">
      <alignment horizontal="right" vertical="top" wrapText="1"/>
    </xf>
    <xf numFmtId="4" fontId="5" fillId="0" borderId="0" xfId="3" applyNumberFormat="1" applyFont="1" applyAlignment="1">
      <alignment vertical="top" wrapText="1"/>
    </xf>
    <xf numFmtId="3" fontId="10" fillId="0" borderId="0" xfId="3" applyNumberFormat="1" applyFont="1" applyAlignment="1">
      <alignment vertical="top" wrapText="1"/>
    </xf>
    <xf numFmtId="0" fontId="5" fillId="0" borderId="0" xfId="3" applyFont="1" applyAlignment="1">
      <alignment horizontal="right" vertical="top"/>
    </xf>
    <xf numFmtId="4" fontId="10" fillId="0" borderId="0" xfId="3" applyNumberFormat="1" applyFont="1" applyAlignment="1">
      <alignment vertical="top" wrapText="1"/>
    </xf>
    <xf numFmtId="0" fontId="3" fillId="0" borderId="0" xfId="3" applyAlignment="1">
      <alignment vertical="top" wrapText="1"/>
    </xf>
    <xf numFmtId="0" fontId="5" fillId="10" borderId="1" xfId="3" applyFont="1" applyFill="1" applyBorder="1" applyAlignment="1">
      <alignment vertical="top" wrapText="1"/>
    </xf>
    <xf numFmtId="3" fontId="5" fillId="9" borderId="0" xfId="3" applyNumberFormat="1" applyFont="1" applyFill="1" applyAlignment="1">
      <alignment vertical="top" wrapText="1"/>
    </xf>
    <xf numFmtId="3" fontId="5" fillId="11" borderId="1" xfId="3" applyNumberFormat="1" applyFont="1" applyFill="1" applyBorder="1" applyAlignment="1">
      <alignment vertical="center"/>
    </xf>
    <xf numFmtId="3" fontId="5" fillId="12" borderId="1" xfId="3" applyNumberFormat="1" applyFont="1" applyFill="1" applyBorder="1" applyAlignment="1">
      <alignment vertical="center"/>
    </xf>
    <xf numFmtId="0" fontId="6" fillId="6" borderId="0" xfId="3" applyFont="1" applyFill="1" applyAlignment="1">
      <alignment vertical="top" wrapText="1"/>
    </xf>
    <xf numFmtId="0" fontId="6" fillId="6" borderId="0" xfId="3" applyFont="1" applyFill="1" applyAlignment="1">
      <alignment vertical="top"/>
    </xf>
    <xf numFmtId="0" fontId="5" fillId="6" borderId="1" xfId="3" applyFont="1" applyFill="1" applyBorder="1" applyAlignment="1">
      <alignment vertical="top" wrapText="1"/>
    </xf>
    <xf numFmtId="0" fontId="5" fillId="6" borderId="1" xfId="3" applyFont="1" applyFill="1" applyBorder="1" applyAlignment="1">
      <alignment vertical="top"/>
    </xf>
    <xf numFmtId="3" fontId="5" fillId="3" borderId="1" xfId="3" applyNumberFormat="1" applyFont="1" applyFill="1" applyBorder="1" applyAlignment="1">
      <alignment vertical="center"/>
    </xf>
    <xf numFmtId="3" fontId="5" fillId="4" borderId="1" xfId="3" applyNumberFormat="1" applyFont="1" applyFill="1" applyBorder="1" applyAlignment="1">
      <alignment vertical="center"/>
    </xf>
    <xf numFmtId="3" fontId="5" fillId="13" borderId="1" xfId="3" applyNumberFormat="1" applyFont="1" applyFill="1" applyBorder="1" applyAlignment="1">
      <alignment vertical="center"/>
    </xf>
    <xf numFmtId="4" fontId="5" fillId="6" borderId="5" xfId="4" applyNumberFormat="1" applyFont="1" applyFill="1" applyBorder="1" applyAlignment="1" applyProtection="1">
      <alignment vertical="top" wrapText="1"/>
    </xf>
    <xf numFmtId="4" fontId="5" fillId="0" borderId="13" xfId="4" applyNumberFormat="1" applyFont="1" applyFill="1" applyBorder="1" applyAlignment="1" applyProtection="1">
      <alignment vertical="top" wrapText="1"/>
    </xf>
    <xf numFmtId="3" fontId="2" fillId="0" borderId="11" xfId="3" applyNumberFormat="1" applyFont="1" applyBorder="1" applyAlignment="1">
      <alignment vertical="center" wrapText="1"/>
    </xf>
    <xf numFmtId="4" fontId="5" fillId="0" borderId="15" xfId="4" applyNumberFormat="1" applyFont="1" applyFill="1" applyBorder="1" applyAlignment="1" applyProtection="1">
      <alignment vertical="top" wrapText="1"/>
    </xf>
    <xf numFmtId="4" fontId="5" fillId="0" borderId="5" xfId="3" applyNumberFormat="1" applyFont="1" applyBorder="1" applyAlignment="1">
      <alignment horizontal="left" vertical="top" wrapText="1"/>
    </xf>
    <xf numFmtId="3" fontId="5" fillId="0" borderId="5" xfId="3" applyNumberFormat="1" applyFont="1" applyBorder="1" applyAlignment="1">
      <alignment vertical="top" wrapText="1"/>
    </xf>
    <xf numFmtId="0" fontId="5" fillId="3" borderId="5" xfId="3" applyFont="1" applyFill="1" applyBorder="1" applyAlignment="1">
      <alignment vertical="top" wrapText="1"/>
    </xf>
    <xf numFmtId="3" fontId="5" fillId="2" borderId="1" xfId="3" applyNumberFormat="1" applyFont="1" applyFill="1" applyBorder="1" applyAlignment="1">
      <alignment vertical="center"/>
    </xf>
    <xf numFmtId="3" fontId="5" fillId="14" borderId="1" xfId="3" applyNumberFormat="1" applyFont="1" applyFill="1" applyBorder="1" applyAlignment="1">
      <alignment vertical="center"/>
    </xf>
    <xf numFmtId="0" fontId="5" fillId="2" borderId="1" xfId="3" applyFont="1" applyFill="1" applyBorder="1" applyAlignment="1">
      <alignment vertical="top" wrapText="1"/>
    </xf>
    <xf numFmtId="0" fontId="5" fillId="4" borderId="1" xfId="3" applyFont="1" applyFill="1" applyBorder="1" applyAlignment="1">
      <alignment vertical="top" wrapText="1"/>
    </xf>
    <xf numFmtId="0" fontId="5" fillId="0" borderId="12" xfId="3" applyFont="1" applyBorder="1" applyAlignment="1">
      <alignment vertical="top"/>
    </xf>
    <xf numFmtId="4" fontId="5" fillId="0" borderId="12" xfId="3" applyNumberFormat="1" applyFont="1" applyBorder="1" applyAlignment="1">
      <alignment vertical="top"/>
    </xf>
    <xf numFmtId="4" fontId="5" fillId="0" borderId="12" xfId="3" applyNumberFormat="1" applyFont="1" applyBorder="1" applyAlignment="1">
      <alignment vertical="center" wrapText="1"/>
    </xf>
    <xf numFmtId="4" fontId="5" fillId="0" borderId="12" xfId="3" applyNumberFormat="1" applyFont="1" applyBorder="1" applyAlignment="1">
      <alignment vertical="top" wrapText="1"/>
    </xf>
    <xf numFmtId="4" fontId="5" fillId="0" borderId="15" xfId="3" applyNumberFormat="1" applyFont="1" applyBorder="1" applyAlignment="1">
      <alignment vertical="top" wrapText="1"/>
    </xf>
    <xf numFmtId="3" fontId="5" fillId="4" borderId="10" xfId="3" applyNumberFormat="1" applyFont="1" applyFill="1" applyBorder="1" applyAlignment="1">
      <alignment vertical="center"/>
    </xf>
    <xf numFmtId="4" fontId="5" fillId="0" borderId="1" xfId="3" applyNumberFormat="1" applyFont="1" applyBorder="1" applyAlignment="1">
      <alignment vertical="top"/>
    </xf>
    <xf numFmtId="3" fontId="2" fillId="0" borderId="16" xfId="3" applyNumberFormat="1" applyFont="1" applyBorder="1" applyAlignment="1">
      <alignment vertical="center" wrapText="1"/>
    </xf>
    <xf numFmtId="3" fontId="5" fillId="15" borderId="1" xfId="3" applyNumberFormat="1" applyFont="1" applyFill="1" applyBorder="1" applyAlignment="1">
      <alignment vertical="center"/>
    </xf>
    <xf numFmtId="3" fontId="10" fillId="2" borderId="7" xfId="3" applyNumberFormat="1" applyFont="1" applyFill="1" applyBorder="1" applyAlignment="1">
      <alignment vertical="top" wrapText="1"/>
    </xf>
    <xf numFmtId="3" fontId="10" fillId="2" borderId="1" xfId="3" applyNumberFormat="1" applyFont="1" applyFill="1" applyBorder="1" applyAlignment="1">
      <alignment vertical="center"/>
    </xf>
    <xf numFmtId="3" fontId="2" fillId="6" borderId="1" xfId="3" applyNumberFormat="1" applyFont="1" applyFill="1" applyBorder="1" applyAlignment="1">
      <alignment vertical="center" wrapText="1"/>
    </xf>
    <xf numFmtId="0" fontId="1" fillId="0" borderId="0" xfId="2"/>
    <xf numFmtId="165" fontId="1" fillId="0" borderId="0" xfId="2" applyNumberFormat="1"/>
    <xf numFmtId="164" fontId="1" fillId="0" borderId="0" xfId="2" applyNumberFormat="1"/>
    <xf numFmtId="0" fontId="10" fillId="0" borderId="3" xfId="3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0" fontId="10" fillId="0" borderId="9" xfId="3" applyFont="1" applyBorder="1" applyAlignment="1">
      <alignment horizontal="center" vertical="top" wrapText="1"/>
    </xf>
    <xf numFmtId="3" fontId="10" fillId="0" borderId="3" xfId="3" applyNumberFormat="1" applyFont="1" applyBorder="1" applyAlignment="1">
      <alignment horizontal="center" vertical="top" wrapText="1"/>
    </xf>
    <xf numFmtId="3" fontId="10" fillId="0" borderId="4" xfId="3" applyNumberFormat="1" applyFont="1" applyBorder="1" applyAlignment="1">
      <alignment horizontal="center" vertical="top" wrapText="1"/>
    </xf>
    <xf numFmtId="0" fontId="10" fillId="0" borderId="1" xfId="3" applyFont="1" applyBorder="1" applyAlignment="1">
      <alignment horizontal="center" vertical="top" wrapText="1"/>
    </xf>
  </cellXfs>
  <cellStyles count="6">
    <cellStyle name="Comma 2" xfId="4" xr:uid="{00000000-0005-0000-0000-000000000000}"/>
    <cellStyle name="Currency 2" xfId="5" xr:uid="{00000000-0005-0000-0000-000001000000}"/>
    <cellStyle name="Normal" xfId="0" builtinId="0"/>
    <cellStyle name="Normal 2" xfId="3" xr:uid="{00000000-0005-0000-0000-000003000000}"/>
    <cellStyle name="Normal 3 2" xfId="1" xr:uid="{00000000-0005-0000-0000-000004000000}"/>
    <cellStyle name="Normal_Sheet1" xfId="2" xr:uid="{00000000-0005-0000-0000-000005000000}"/>
  </cellStyles>
  <dxfs count="0"/>
  <tableStyles count="0" defaultTableStyle="TableStyleMedium2" defaultPivotStyle="PivotStyleLight16"/>
  <colors>
    <mruColors>
      <color rgb="FFCC66FF"/>
      <color rgb="FF66FFCC"/>
      <color rgb="FFFF66FF"/>
      <color rgb="FFFFCCCC"/>
      <color rgb="FFCCCCFF"/>
      <color rgb="FFCCFFFF"/>
      <color rgb="FFFF99CC"/>
      <color rgb="FFFF6600"/>
      <color rgb="FF0099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hem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H244"/>
  <sheetViews>
    <sheetView tabSelected="1" zoomScaleNormal="100" zoomScaleSheetLayoutView="108" workbookViewId="0">
      <pane xSplit="4" ySplit="2" topLeftCell="E102" activePane="bottomRight" state="frozen"/>
      <selection activeCell="E52" sqref="E52"/>
      <selection pane="topRight" activeCell="E52" sqref="E52"/>
      <selection pane="bottomLeft" activeCell="E52" sqref="E52"/>
      <selection pane="bottomRight" activeCell="A235" sqref="A235:XFD235"/>
    </sheetView>
  </sheetViews>
  <sheetFormatPr defaultRowHeight="12.75" x14ac:dyDescent="0.2"/>
  <cols>
    <col min="1" max="1" width="11.140625" style="210" customWidth="1"/>
    <col min="2" max="2" width="9.85546875" style="209" customWidth="1"/>
    <col min="3" max="3" width="24.140625" style="209" customWidth="1"/>
    <col min="4" max="4" width="13.42578125" style="211" customWidth="1"/>
    <col min="5" max="5" width="12.28515625" style="209" customWidth="1"/>
    <col min="6" max="6" width="52" style="209" customWidth="1"/>
    <col min="7" max="7" width="12.28515625" style="209" customWidth="1"/>
    <col min="8" max="8" width="9.140625" style="209"/>
    <col min="9" max="9" width="28.85546875" style="209" bestFit="1" customWidth="1"/>
    <col min="10" max="10" width="10.85546875" style="209" bestFit="1" customWidth="1"/>
    <col min="11" max="14" width="9.140625" style="209"/>
    <col min="15" max="15" width="54.5703125" style="209" bestFit="1" customWidth="1"/>
    <col min="16" max="244" width="9.140625" style="209"/>
    <col min="245" max="245" width="13.7109375" style="209" customWidth="1"/>
    <col min="246" max="246" width="20.85546875" style="209" customWidth="1"/>
    <col min="247" max="247" width="33.42578125" style="209" customWidth="1"/>
    <col min="248" max="248" width="19.7109375" style="209" customWidth="1"/>
    <col min="249" max="249" width="19.140625" style="209" customWidth="1"/>
    <col min="250" max="250" width="9.28515625" style="209" customWidth="1"/>
    <col min="251" max="251" width="18.7109375" style="209" customWidth="1"/>
    <col min="252" max="500" width="9.140625" style="209"/>
    <col min="501" max="501" width="13.7109375" style="209" customWidth="1"/>
    <col min="502" max="502" width="20.85546875" style="209" customWidth="1"/>
    <col min="503" max="503" width="33.42578125" style="209" customWidth="1"/>
    <col min="504" max="504" width="19.7109375" style="209" customWidth="1"/>
    <col min="505" max="505" width="19.140625" style="209" customWidth="1"/>
    <col min="506" max="506" width="9.28515625" style="209" customWidth="1"/>
    <col min="507" max="507" width="18.7109375" style="209" customWidth="1"/>
    <col min="508" max="756" width="9.140625" style="209"/>
    <col min="757" max="757" width="13.7109375" style="209" customWidth="1"/>
    <col min="758" max="758" width="20.85546875" style="209" customWidth="1"/>
    <col min="759" max="759" width="33.42578125" style="209" customWidth="1"/>
    <col min="760" max="760" width="19.7109375" style="209" customWidth="1"/>
    <col min="761" max="761" width="19.140625" style="209" customWidth="1"/>
    <col min="762" max="762" width="9.28515625" style="209" customWidth="1"/>
    <col min="763" max="763" width="18.7109375" style="209" customWidth="1"/>
    <col min="764" max="1012" width="9.140625" style="209"/>
    <col min="1013" max="1013" width="13.7109375" style="209" customWidth="1"/>
    <col min="1014" max="1014" width="20.85546875" style="209" customWidth="1"/>
    <col min="1015" max="1015" width="33.42578125" style="209" customWidth="1"/>
    <col min="1016" max="1016" width="19.7109375" style="209" customWidth="1"/>
    <col min="1017" max="1017" width="19.140625" style="209" customWidth="1"/>
    <col min="1018" max="1018" width="9.28515625" style="209" customWidth="1"/>
    <col min="1019" max="1019" width="18.7109375" style="209" customWidth="1"/>
    <col min="1020" max="1268" width="9.140625" style="209"/>
    <col min="1269" max="1269" width="13.7109375" style="209" customWidth="1"/>
    <col min="1270" max="1270" width="20.85546875" style="209" customWidth="1"/>
    <col min="1271" max="1271" width="33.42578125" style="209" customWidth="1"/>
    <col min="1272" max="1272" width="19.7109375" style="209" customWidth="1"/>
    <col min="1273" max="1273" width="19.140625" style="209" customWidth="1"/>
    <col min="1274" max="1274" width="9.28515625" style="209" customWidth="1"/>
    <col min="1275" max="1275" width="18.7109375" style="209" customWidth="1"/>
    <col min="1276" max="1524" width="9.140625" style="209"/>
    <col min="1525" max="1525" width="13.7109375" style="209" customWidth="1"/>
    <col min="1526" max="1526" width="20.85546875" style="209" customWidth="1"/>
    <col min="1527" max="1527" width="33.42578125" style="209" customWidth="1"/>
    <col min="1528" max="1528" width="19.7109375" style="209" customWidth="1"/>
    <col min="1529" max="1529" width="19.140625" style="209" customWidth="1"/>
    <col min="1530" max="1530" width="9.28515625" style="209" customWidth="1"/>
    <col min="1531" max="1531" width="18.7109375" style="209" customWidth="1"/>
    <col min="1532" max="1780" width="9.140625" style="209"/>
    <col min="1781" max="1781" width="13.7109375" style="209" customWidth="1"/>
    <col min="1782" max="1782" width="20.85546875" style="209" customWidth="1"/>
    <col min="1783" max="1783" width="33.42578125" style="209" customWidth="1"/>
    <col min="1784" max="1784" width="19.7109375" style="209" customWidth="1"/>
    <col min="1785" max="1785" width="19.140625" style="209" customWidth="1"/>
    <col min="1786" max="1786" width="9.28515625" style="209" customWidth="1"/>
    <col min="1787" max="1787" width="18.7109375" style="209" customWidth="1"/>
    <col min="1788" max="2036" width="9.140625" style="209"/>
    <col min="2037" max="2037" width="13.7109375" style="209" customWidth="1"/>
    <col min="2038" max="2038" width="20.85546875" style="209" customWidth="1"/>
    <col min="2039" max="2039" width="33.42578125" style="209" customWidth="1"/>
    <col min="2040" max="2040" width="19.7109375" style="209" customWidth="1"/>
    <col min="2041" max="2041" width="19.140625" style="209" customWidth="1"/>
    <col min="2042" max="2042" width="9.28515625" style="209" customWidth="1"/>
    <col min="2043" max="2043" width="18.7109375" style="209" customWidth="1"/>
    <col min="2044" max="2292" width="9.140625" style="209"/>
    <col min="2293" max="2293" width="13.7109375" style="209" customWidth="1"/>
    <col min="2294" max="2294" width="20.85546875" style="209" customWidth="1"/>
    <col min="2295" max="2295" width="33.42578125" style="209" customWidth="1"/>
    <col min="2296" max="2296" width="19.7109375" style="209" customWidth="1"/>
    <col min="2297" max="2297" width="19.140625" style="209" customWidth="1"/>
    <col min="2298" max="2298" width="9.28515625" style="209" customWidth="1"/>
    <col min="2299" max="2299" width="18.7109375" style="209" customWidth="1"/>
    <col min="2300" max="2548" width="9.140625" style="209"/>
    <col min="2549" max="2549" width="13.7109375" style="209" customWidth="1"/>
    <col min="2550" max="2550" width="20.85546875" style="209" customWidth="1"/>
    <col min="2551" max="2551" width="33.42578125" style="209" customWidth="1"/>
    <col min="2552" max="2552" width="19.7109375" style="209" customWidth="1"/>
    <col min="2553" max="2553" width="19.140625" style="209" customWidth="1"/>
    <col min="2554" max="2554" width="9.28515625" style="209" customWidth="1"/>
    <col min="2555" max="2555" width="18.7109375" style="209" customWidth="1"/>
    <col min="2556" max="2804" width="9.140625" style="209"/>
    <col min="2805" max="2805" width="13.7109375" style="209" customWidth="1"/>
    <col min="2806" max="2806" width="20.85546875" style="209" customWidth="1"/>
    <col min="2807" max="2807" width="33.42578125" style="209" customWidth="1"/>
    <col min="2808" max="2808" width="19.7109375" style="209" customWidth="1"/>
    <col min="2809" max="2809" width="19.140625" style="209" customWidth="1"/>
    <col min="2810" max="2810" width="9.28515625" style="209" customWidth="1"/>
    <col min="2811" max="2811" width="18.7109375" style="209" customWidth="1"/>
    <col min="2812" max="3060" width="9.140625" style="209"/>
    <col min="3061" max="3061" width="13.7109375" style="209" customWidth="1"/>
    <col min="3062" max="3062" width="20.85546875" style="209" customWidth="1"/>
    <col min="3063" max="3063" width="33.42578125" style="209" customWidth="1"/>
    <col min="3064" max="3064" width="19.7109375" style="209" customWidth="1"/>
    <col min="3065" max="3065" width="19.140625" style="209" customWidth="1"/>
    <col min="3066" max="3066" width="9.28515625" style="209" customWidth="1"/>
    <col min="3067" max="3067" width="18.7109375" style="209" customWidth="1"/>
    <col min="3068" max="3316" width="9.140625" style="209"/>
    <col min="3317" max="3317" width="13.7109375" style="209" customWidth="1"/>
    <col min="3318" max="3318" width="20.85546875" style="209" customWidth="1"/>
    <col min="3319" max="3319" width="33.42578125" style="209" customWidth="1"/>
    <col min="3320" max="3320" width="19.7109375" style="209" customWidth="1"/>
    <col min="3321" max="3321" width="19.140625" style="209" customWidth="1"/>
    <col min="3322" max="3322" width="9.28515625" style="209" customWidth="1"/>
    <col min="3323" max="3323" width="18.7109375" style="209" customWidth="1"/>
    <col min="3324" max="3572" width="9.140625" style="209"/>
    <col min="3573" max="3573" width="13.7109375" style="209" customWidth="1"/>
    <col min="3574" max="3574" width="20.85546875" style="209" customWidth="1"/>
    <col min="3575" max="3575" width="33.42578125" style="209" customWidth="1"/>
    <col min="3576" max="3576" width="19.7109375" style="209" customWidth="1"/>
    <col min="3577" max="3577" width="19.140625" style="209" customWidth="1"/>
    <col min="3578" max="3578" width="9.28515625" style="209" customWidth="1"/>
    <col min="3579" max="3579" width="18.7109375" style="209" customWidth="1"/>
    <col min="3580" max="3828" width="9.140625" style="209"/>
    <col min="3829" max="3829" width="13.7109375" style="209" customWidth="1"/>
    <col min="3830" max="3830" width="20.85546875" style="209" customWidth="1"/>
    <col min="3831" max="3831" width="33.42578125" style="209" customWidth="1"/>
    <col min="3832" max="3832" width="19.7109375" style="209" customWidth="1"/>
    <col min="3833" max="3833" width="19.140625" style="209" customWidth="1"/>
    <col min="3834" max="3834" width="9.28515625" style="209" customWidth="1"/>
    <col min="3835" max="3835" width="18.7109375" style="209" customWidth="1"/>
    <col min="3836" max="4084" width="9.140625" style="209"/>
    <col min="4085" max="4085" width="13.7109375" style="209" customWidth="1"/>
    <col min="4086" max="4086" width="20.85546875" style="209" customWidth="1"/>
    <col min="4087" max="4087" width="33.42578125" style="209" customWidth="1"/>
    <col min="4088" max="4088" width="19.7109375" style="209" customWidth="1"/>
    <col min="4089" max="4089" width="19.140625" style="209" customWidth="1"/>
    <col min="4090" max="4090" width="9.28515625" style="209" customWidth="1"/>
    <col min="4091" max="4091" width="18.7109375" style="209" customWidth="1"/>
    <col min="4092" max="4340" width="9.140625" style="209"/>
    <col min="4341" max="4341" width="13.7109375" style="209" customWidth="1"/>
    <col min="4342" max="4342" width="20.85546875" style="209" customWidth="1"/>
    <col min="4343" max="4343" width="33.42578125" style="209" customWidth="1"/>
    <col min="4344" max="4344" width="19.7109375" style="209" customWidth="1"/>
    <col min="4345" max="4345" width="19.140625" style="209" customWidth="1"/>
    <col min="4346" max="4346" width="9.28515625" style="209" customWidth="1"/>
    <col min="4347" max="4347" width="18.7109375" style="209" customWidth="1"/>
    <col min="4348" max="4596" width="9.140625" style="209"/>
    <col min="4597" max="4597" width="13.7109375" style="209" customWidth="1"/>
    <col min="4598" max="4598" width="20.85546875" style="209" customWidth="1"/>
    <col min="4599" max="4599" width="33.42578125" style="209" customWidth="1"/>
    <col min="4600" max="4600" width="19.7109375" style="209" customWidth="1"/>
    <col min="4601" max="4601" width="19.140625" style="209" customWidth="1"/>
    <col min="4602" max="4602" width="9.28515625" style="209" customWidth="1"/>
    <col min="4603" max="4603" width="18.7109375" style="209" customWidth="1"/>
    <col min="4604" max="4852" width="9.140625" style="209"/>
    <col min="4853" max="4853" width="13.7109375" style="209" customWidth="1"/>
    <col min="4854" max="4854" width="20.85546875" style="209" customWidth="1"/>
    <col min="4855" max="4855" width="33.42578125" style="209" customWidth="1"/>
    <col min="4856" max="4856" width="19.7109375" style="209" customWidth="1"/>
    <col min="4857" max="4857" width="19.140625" style="209" customWidth="1"/>
    <col min="4858" max="4858" width="9.28515625" style="209" customWidth="1"/>
    <col min="4859" max="4859" width="18.7109375" style="209" customWidth="1"/>
    <col min="4860" max="5108" width="9.140625" style="209"/>
    <col min="5109" max="5109" width="13.7109375" style="209" customWidth="1"/>
    <col min="5110" max="5110" width="20.85546875" style="209" customWidth="1"/>
    <col min="5111" max="5111" width="33.42578125" style="209" customWidth="1"/>
    <col min="5112" max="5112" width="19.7109375" style="209" customWidth="1"/>
    <col min="5113" max="5113" width="19.140625" style="209" customWidth="1"/>
    <col min="5114" max="5114" width="9.28515625" style="209" customWidth="1"/>
    <col min="5115" max="5115" width="18.7109375" style="209" customWidth="1"/>
    <col min="5116" max="5364" width="9.140625" style="209"/>
    <col min="5365" max="5365" width="13.7109375" style="209" customWidth="1"/>
    <col min="5366" max="5366" width="20.85546875" style="209" customWidth="1"/>
    <col min="5367" max="5367" width="33.42578125" style="209" customWidth="1"/>
    <col min="5368" max="5368" width="19.7109375" style="209" customWidth="1"/>
    <col min="5369" max="5369" width="19.140625" style="209" customWidth="1"/>
    <col min="5370" max="5370" width="9.28515625" style="209" customWidth="1"/>
    <col min="5371" max="5371" width="18.7109375" style="209" customWidth="1"/>
    <col min="5372" max="5620" width="9.140625" style="209"/>
    <col min="5621" max="5621" width="13.7109375" style="209" customWidth="1"/>
    <col min="5622" max="5622" width="20.85546875" style="209" customWidth="1"/>
    <col min="5623" max="5623" width="33.42578125" style="209" customWidth="1"/>
    <col min="5624" max="5624" width="19.7109375" style="209" customWidth="1"/>
    <col min="5625" max="5625" width="19.140625" style="209" customWidth="1"/>
    <col min="5626" max="5626" width="9.28515625" style="209" customWidth="1"/>
    <col min="5627" max="5627" width="18.7109375" style="209" customWidth="1"/>
    <col min="5628" max="5876" width="9.140625" style="209"/>
    <col min="5877" max="5877" width="13.7109375" style="209" customWidth="1"/>
    <col min="5878" max="5878" width="20.85546875" style="209" customWidth="1"/>
    <col min="5879" max="5879" width="33.42578125" style="209" customWidth="1"/>
    <col min="5880" max="5880" width="19.7109375" style="209" customWidth="1"/>
    <col min="5881" max="5881" width="19.140625" style="209" customWidth="1"/>
    <col min="5882" max="5882" width="9.28515625" style="209" customWidth="1"/>
    <col min="5883" max="5883" width="18.7109375" style="209" customWidth="1"/>
    <col min="5884" max="6132" width="9.140625" style="209"/>
    <col min="6133" max="6133" width="13.7109375" style="209" customWidth="1"/>
    <col min="6134" max="6134" width="20.85546875" style="209" customWidth="1"/>
    <col min="6135" max="6135" width="33.42578125" style="209" customWidth="1"/>
    <col min="6136" max="6136" width="19.7109375" style="209" customWidth="1"/>
    <col min="6137" max="6137" width="19.140625" style="209" customWidth="1"/>
    <col min="6138" max="6138" width="9.28515625" style="209" customWidth="1"/>
    <col min="6139" max="6139" width="18.7109375" style="209" customWidth="1"/>
    <col min="6140" max="6388" width="9.140625" style="209"/>
    <col min="6389" max="6389" width="13.7109375" style="209" customWidth="1"/>
    <col min="6390" max="6390" width="20.85546875" style="209" customWidth="1"/>
    <col min="6391" max="6391" width="33.42578125" style="209" customWidth="1"/>
    <col min="6392" max="6392" width="19.7109375" style="209" customWidth="1"/>
    <col min="6393" max="6393" width="19.140625" style="209" customWidth="1"/>
    <col min="6394" max="6394" width="9.28515625" style="209" customWidth="1"/>
    <col min="6395" max="6395" width="18.7109375" style="209" customWidth="1"/>
    <col min="6396" max="6644" width="9.140625" style="209"/>
    <col min="6645" max="6645" width="13.7109375" style="209" customWidth="1"/>
    <col min="6646" max="6646" width="20.85546875" style="209" customWidth="1"/>
    <col min="6647" max="6647" width="33.42578125" style="209" customWidth="1"/>
    <col min="6648" max="6648" width="19.7109375" style="209" customWidth="1"/>
    <col min="6649" max="6649" width="19.140625" style="209" customWidth="1"/>
    <col min="6650" max="6650" width="9.28515625" style="209" customWidth="1"/>
    <col min="6651" max="6651" width="18.7109375" style="209" customWidth="1"/>
    <col min="6652" max="6900" width="9.140625" style="209"/>
    <col min="6901" max="6901" width="13.7109375" style="209" customWidth="1"/>
    <col min="6902" max="6902" width="20.85546875" style="209" customWidth="1"/>
    <col min="6903" max="6903" width="33.42578125" style="209" customWidth="1"/>
    <col min="6904" max="6904" width="19.7109375" style="209" customWidth="1"/>
    <col min="6905" max="6905" width="19.140625" style="209" customWidth="1"/>
    <col min="6906" max="6906" width="9.28515625" style="209" customWidth="1"/>
    <col min="6907" max="6907" width="18.7109375" style="209" customWidth="1"/>
    <col min="6908" max="7156" width="9.140625" style="209"/>
    <col min="7157" max="7157" width="13.7109375" style="209" customWidth="1"/>
    <col min="7158" max="7158" width="20.85546875" style="209" customWidth="1"/>
    <col min="7159" max="7159" width="33.42578125" style="209" customWidth="1"/>
    <col min="7160" max="7160" width="19.7109375" style="209" customWidth="1"/>
    <col min="7161" max="7161" width="19.140625" style="209" customWidth="1"/>
    <col min="7162" max="7162" width="9.28515625" style="209" customWidth="1"/>
    <col min="7163" max="7163" width="18.7109375" style="209" customWidth="1"/>
    <col min="7164" max="7412" width="9.140625" style="209"/>
    <col min="7413" max="7413" width="13.7109375" style="209" customWidth="1"/>
    <col min="7414" max="7414" width="20.85546875" style="209" customWidth="1"/>
    <col min="7415" max="7415" width="33.42578125" style="209" customWidth="1"/>
    <col min="7416" max="7416" width="19.7109375" style="209" customWidth="1"/>
    <col min="7417" max="7417" width="19.140625" style="209" customWidth="1"/>
    <col min="7418" max="7418" width="9.28515625" style="209" customWidth="1"/>
    <col min="7419" max="7419" width="18.7109375" style="209" customWidth="1"/>
    <col min="7420" max="7668" width="9.140625" style="209"/>
    <col min="7669" max="7669" width="13.7109375" style="209" customWidth="1"/>
    <col min="7670" max="7670" width="20.85546875" style="209" customWidth="1"/>
    <col min="7671" max="7671" width="33.42578125" style="209" customWidth="1"/>
    <col min="7672" max="7672" width="19.7109375" style="209" customWidth="1"/>
    <col min="7673" max="7673" width="19.140625" style="209" customWidth="1"/>
    <col min="7674" max="7674" width="9.28515625" style="209" customWidth="1"/>
    <col min="7675" max="7675" width="18.7109375" style="209" customWidth="1"/>
    <col min="7676" max="7924" width="9.140625" style="209"/>
    <col min="7925" max="7925" width="13.7109375" style="209" customWidth="1"/>
    <col min="7926" max="7926" width="20.85546875" style="209" customWidth="1"/>
    <col min="7927" max="7927" width="33.42578125" style="209" customWidth="1"/>
    <col min="7928" max="7928" width="19.7109375" style="209" customWidth="1"/>
    <col min="7929" max="7929" width="19.140625" style="209" customWidth="1"/>
    <col min="7930" max="7930" width="9.28515625" style="209" customWidth="1"/>
    <col min="7931" max="7931" width="18.7109375" style="209" customWidth="1"/>
    <col min="7932" max="8180" width="9.140625" style="209"/>
    <col min="8181" max="8181" width="13.7109375" style="209" customWidth="1"/>
    <col min="8182" max="8182" width="20.85546875" style="209" customWidth="1"/>
    <col min="8183" max="8183" width="33.42578125" style="209" customWidth="1"/>
    <col min="8184" max="8184" width="19.7109375" style="209" customWidth="1"/>
    <col min="8185" max="8185" width="19.140625" style="209" customWidth="1"/>
    <col min="8186" max="8186" width="9.28515625" style="209" customWidth="1"/>
    <col min="8187" max="8187" width="18.7109375" style="209" customWidth="1"/>
    <col min="8188" max="8436" width="9.140625" style="209"/>
    <col min="8437" max="8437" width="13.7109375" style="209" customWidth="1"/>
    <col min="8438" max="8438" width="20.85546875" style="209" customWidth="1"/>
    <col min="8439" max="8439" width="33.42578125" style="209" customWidth="1"/>
    <col min="8440" max="8440" width="19.7109375" style="209" customWidth="1"/>
    <col min="8441" max="8441" width="19.140625" style="209" customWidth="1"/>
    <col min="8442" max="8442" width="9.28515625" style="209" customWidth="1"/>
    <col min="8443" max="8443" width="18.7109375" style="209" customWidth="1"/>
    <col min="8444" max="8692" width="9.140625" style="209"/>
    <col min="8693" max="8693" width="13.7109375" style="209" customWidth="1"/>
    <col min="8694" max="8694" width="20.85546875" style="209" customWidth="1"/>
    <col min="8695" max="8695" width="33.42578125" style="209" customWidth="1"/>
    <col min="8696" max="8696" width="19.7109375" style="209" customWidth="1"/>
    <col min="8697" max="8697" width="19.140625" style="209" customWidth="1"/>
    <col min="8698" max="8698" width="9.28515625" style="209" customWidth="1"/>
    <col min="8699" max="8699" width="18.7109375" style="209" customWidth="1"/>
    <col min="8700" max="8948" width="9.140625" style="209"/>
    <col min="8949" max="8949" width="13.7109375" style="209" customWidth="1"/>
    <col min="8950" max="8950" width="20.85546875" style="209" customWidth="1"/>
    <col min="8951" max="8951" width="33.42578125" style="209" customWidth="1"/>
    <col min="8952" max="8952" width="19.7109375" style="209" customWidth="1"/>
    <col min="8953" max="8953" width="19.140625" style="209" customWidth="1"/>
    <col min="8954" max="8954" width="9.28515625" style="209" customWidth="1"/>
    <col min="8955" max="8955" width="18.7109375" style="209" customWidth="1"/>
    <col min="8956" max="9204" width="9.140625" style="209"/>
    <col min="9205" max="9205" width="13.7109375" style="209" customWidth="1"/>
    <col min="9206" max="9206" width="20.85546875" style="209" customWidth="1"/>
    <col min="9207" max="9207" width="33.42578125" style="209" customWidth="1"/>
    <col min="9208" max="9208" width="19.7109375" style="209" customWidth="1"/>
    <col min="9209" max="9209" width="19.140625" style="209" customWidth="1"/>
    <col min="9210" max="9210" width="9.28515625" style="209" customWidth="1"/>
    <col min="9211" max="9211" width="18.7109375" style="209" customWidth="1"/>
    <col min="9212" max="9460" width="9.140625" style="209"/>
    <col min="9461" max="9461" width="13.7109375" style="209" customWidth="1"/>
    <col min="9462" max="9462" width="20.85546875" style="209" customWidth="1"/>
    <col min="9463" max="9463" width="33.42578125" style="209" customWidth="1"/>
    <col min="9464" max="9464" width="19.7109375" style="209" customWidth="1"/>
    <col min="9465" max="9465" width="19.140625" style="209" customWidth="1"/>
    <col min="9466" max="9466" width="9.28515625" style="209" customWidth="1"/>
    <col min="9467" max="9467" width="18.7109375" style="209" customWidth="1"/>
    <col min="9468" max="9716" width="9.140625" style="209"/>
    <col min="9717" max="9717" width="13.7109375" style="209" customWidth="1"/>
    <col min="9718" max="9718" width="20.85546875" style="209" customWidth="1"/>
    <col min="9719" max="9719" width="33.42578125" style="209" customWidth="1"/>
    <col min="9720" max="9720" width="19.7109375" style="209" customWidth="1"/>
    <col min="9721" max="9721" width="19.140625" style="209" customWidth="1"/>
    <col min="9722" max="9722" width="9.28515625" style="209" customWidth="1"/>
    <col min="9723" max="9723" width="18.7109375" style="209" customWidth="1"/>
    <col min="9724" max="9972" width="9.140625" style="209"/>
    <col min="9973" max="9973" width="13.7109375" style="209" customWidth="1"/>
    <col min="9974" max="9974" width="20.85546875" style="209" customWidth="1"/>
    <col min="9975" max="9975" width="33.42578125" style="209" customWidth="1"/>
    <col min="9976" max="9976" width="19.7109375" style="209" customWidth="1"/>
    <col min="9977" max="9977" width="19.140625" style="209" customWidth="1"/>
    <col min="9978" max="9978" width="9.28515625" style="209" customWidth="1"/>
    <col min="9979" max="9979" width="18.7109375" style="209" customWidth="1"/>
    <col min="9980" max="10228" width="9.140625" style="209"/>
    <col min="10229" max="10229" width="13.7109375" style="209" customWidth="1"/>
    <col min="10230" max="10230" width="20.85546875" style="209" customWidth="1"/>
    <col min="10231" max="10231" width="33.42578125" style="209" customWidth="1"/>
    <col min="10232" max="10232" width="19.7109375" style="209" customWidth="1"/>
    <col min="10233" max="10233" width="19.140625" style="209" customWidth="1"/>
    <col min="10234" max="10234" width="9.28515625" style="209" customWidth="1"/>
    <col min="10235" max="10235" width="18.7109375" style="209" customWidth="1"/>
    <col min="10236" max="10484" width="9.140625" style="209"/>
    <col min="10485" max="10485" width="13.7109375" style="209" customWidth="1"/>
    <col min="10486" max="10486" width="20.85546875" style="209" customWidth="1"/>
    <col min="10487" max="10487" width="33.42578125" style="209" customWidth="1"/>
    <col min="10488" max="10488" width="19.7109375" style="209" customWidth="1"/>
    <col min="10489" max="10489" width="19.140625" style="209" customWidth="1"/>
    <col min="10490" max="10490" width="9.28515625" style="209" customWidth="1"/>
    <col min="10491" max="10491" width="18.7109375" style="209" customWidth="1"/>
    <col min="10492" max="10740" width="9.140625" style="209"/>
    <col min="10741" max="10741" width="13.7109375" style="209" customWidth="1"/>
    <col min="10742" max="10742" width="20.85546875" style="209" customWidth="1"/>
    <col min="10743" max="10743" width="33.42578125" style="209" customWidth="1"/>
    <col min="10744" max="10744" width="19.7109375" style="209" customWidth="1"/>
    <col min="10745" max="10745" width="19.140625" style="209" customWidth="1"/>
    <col min="10746" max="10746" width="9.28515625" style="209" customWidth="1"/>
    <col min="10747" max="10747" width="18.7109375" style="209" customWidth="1"/>
    <col min="10748" max="10996" width="9.140625" style="209"/>
    <col min="10997" max="10997" width="13.7109375" style="209" customWidth="1"/>
    <col min="10998" max="10998" width="20.85546875" style="209" customWidth="1"/>
    <col min="10999" max="10999" width="33.42578125" style="209" customWidth="1"/>
    <col min="11000" max="11000" width="19.7109375" style="209" customWidth="1"/>
    <col min="11001" max="11001" width="19.140625" style="209" customWidth="1"/>
    <col min="11002" max="11002" width="9.28515625" style="209" customWidth="1"/>
    <col min="11003" max="11003" width="18.7109375" style="209" customWidth="1"/>
    <col min="11004" max="11252" width="9.140625" style="209"/>
    <col min="11253" max="11253" width="13.7109375" style="209" customWidth="1"/>
    <col min="11254" max="11254" width="20.85546875" style="209" customWidth="1"/>
    <col min="11255" max="11255" width="33.42578125" style="209" customWidth="1"/>
    <col min="11256" max="11256" width="19.7109375" style="209" customWidth="1"/>
    <col min="11257" max="11257" width="19.140625" style="209" customWidth="1"/>
    <col min="11258" max="11258" width="9.28515625" style="209" customWidth="1"/>
    <col min="11259" max="11259" width="18.7109375" style="209" customWidth="1"/>
    <col min="11260" max="11508" width="9.140625" style="209"/>
    <col min="11509" max="11509" width="13.7109375" style="209" customWidth="1"/>
    <col min="11510" max="11510" width="20.85546875" style="209" customWidth="1"/>
    <col min="11511" max="11511" width="33.42578125" style="209" customWidth="1"/>
    <col min="11512" max="11512" width="19.7109375" style="209" customWidth="1"/>
    <col min="11513" max="11513" width="19.140625" style="209" customWidth="1"/>
    <col min="11514" max="11514" width="9.28515625" style="209" customWidth="1"/>
    <col min="11515" max="11515" width="18.7109375" style="209" customWidth="1"/>
    <col min="11516" max="11764" width="9.140625" style="209"/>
    <col min="11765" max="11765" width="13.7109375" style="209" customWidth="1"/>
    <col min="11766" max="11766" width="20.85546875" style="209" customWidth="1"/>
    <col min="11767" max="11767" width="33.42578125" style="209" customWidth="1"/>
    <col min="11768" max="11768" width="19.7109375" style="209" customWidth="1"/>
    <col min="11769" max="11769" width="19.140625" style="209" customWidth="1"/>
    <col min="11770" max="11770" width="9.28515625" style="209" customWidth="1"/>
    <col min="11771" max="11771" width="18.7109375" style="209" customWidth="1"/>
    <col min="11772" max="12020" width="9.140625" style="209"/>
    <col min="12021" max="12021" width="13.7109375" style="209" customWidth="1"/>
    <col min="12022" max="12022" width="20.85546875" style="209" customWidth="1"/>
    <col min="12023" max="12023" width="33.42578125" style="209" customWidth="1"/>
    <col min="12024" max="12024" width="19.7109375" style="209" customWidth="1"/>
    <col min="12025" max="12025" width="19.140625" style="209" customWidth="1"/>
    <col min="12026" max="12026" width="9.28515625" style="209" customWidth="1"/>
    <col min="12027" max="12027" width="18.7109375" style="209" customWidth="1"/>
    <col min="12028" max="12276" width="9.140625" style="209"/>
    <col min="12277" max="12277" width="13.7109375" style="209" customWidth="1"/>
    <col min="12278" max="12278" width="20.85546875" style="209" customWidth="1"/>
    <col min="12279" max="12279" width="33.42578125" style="209" customWidth="1"/>
    <col min="12280" max="12280" width="19.7109375" style="209" customWidth="1"/>
    <col min="12281" max="12281" width="19.140625" style="209" customWidth="1"/>
    <col min="12282" max="12282" width="9.28515625" style="209" customWidth="1"/>
    <col min="12283" max="12283" width="18.7109375" style="209" customWidth="1"/>
    <col min="12284" max="12532" width="9.140625" style="209"/>
    <col min="12533" max="12533" width="13.7109375" style="209" customWidth="1"/>
    <col min="12534" max="12534" width="20.85546875" style="209" customWidth="1"/>
    <col min="12535" max="12535" width="33.42578125" style="209" customWidth="1"/>
    <col min="12536" max="12536" width="19.7109375" style="209" customWidth="1"/>
    <col min="12537" max="12537" width="19.140625" style="209" customWidth="1"/>
    <col min="12538" max="12538" width="9.28515625" style="209" customWidth="1"/>
    <col min="12539" max="12539" width="18.7109375" style="209" customWidth="1"/>
    <col min="12540" max="12788" width="9.140625" style="209"/>
    <col min="12789" max="12789" width="13.7109375" style="209" customWidth="1"/>
    <col min="12790" max="12790" width="20.85546875" style="209" customWidth="1"/>
    <col min="12791" max="12791" width="33.42578125" style="209" customWidth="1"/>
    <col min="12792" max="12792" width="19.7109375" style="209" customWidth="1"/>
    <col min="12793" max="12793" width="19.140625" style="209" customWidth="1"/>
    <col min="12794" max="12794" width="9.28515625" style="209" customWidth="1"/>
    <col min="12795" max="12795" width="18.7109375" style="209" customWidth="1"/>
    <col min="12796" max="13044" width="9.140625" style="209"/>
    <col min="13045" max="13045" width="13.7109375" style="209" customWidth="1"/>
    <col min="13046" max="13046" width="20.85546875" style="209" customWidth="1"/>
    <col min="13047" max="13047" width="33.42578125" style="209" customWidth="1"/>
    <col min="13048" max="13048" width="19.7109375" style="209" customWidth="1"/>
    <col min="13049" max="13049" width="19.140625" style="209" customWidth="1"/>
    <col min="13050" max="13050" width="9.28515625" style="209" customWidth="1"/>
    <col min="13051" max="13051" width="18.7109375" style="209" customWidth="1"/>
    <col min="13052" max="13300" width="9.140625" style="209"/>
    <col min="13301" max="13301" width="13.7109375" style="209" customWidth="1"/>
    <col min="13302" max="13302" width="20.85546875" style="209" customWidth="1"/>
    <col min="13303" max="13303" width="33.42578125" style="209" customWidth="1"/>
    <col min="13304" max="13304" width="19.7109375" style="209" customWidth="1"/>
    <col min="13305" max="13305" width="19.140625" style="209" customWidth="1"/>
    <col min="13306" max="13306" width="9.28515625" style="209" customWidth="1"/>
    <col min="13307" max="13307" width="18.7109375" style="209" customWidth="1"/>
    <col min="13308" max="13556" width="9.140625" style="209"/>
    <col min="13557" max="13557" width="13.7109375" style="209" customWidth="1"/>
    <col min="13558" max="13558" width="20.85546875" style="209" customWidth="1"/>
    <col min="13559" max="13559" width="33.42578125" style="209" customWidth="1"/>
    <col min="13560" max="13560" width="19.7109375" style="209" customWidth="1"/>
    <col min="13561" max="13561" width="19.140625" style="209" customWidth="1"/>
    <col min="13562" max="13562" width="9.28515625" style="209" customWidth="1"/>
    <col min="13563" max="13563" width="18.7109375" style="209" customWidth="1"/>
    <col min="13564" max="13812" width="9.140625" style="209"/>
    <col min="13813" max="13813" width="13.7109375" style="209" customWidth="1"/>
    <col min="13814" max="13814" width="20.85546875" style="209" customWidth="1"/>
    <col min="13815" max="13815" width="33.42578125" style="209" customWidth="1"/>
    <col min="13816" max="13816" width="19.7109375" style="209" customWidth="1"/>
    <col min="13817" max="13817" width="19.140625" style="209" customWidth="1"/>
    <col min="13818" max="13818" width="9.28515625" style="209" customWidth="1"/>
    <col min="13819" max="13819" width="18.7109375" style="209" customWidth="1"/>
    <col min="13820" max="14068" width="9.140625" style="209"/>
    <col min="14069" max="14069" width="13.7109375" style="209" customWidth="1"/>
    <col min="14070" max="14070" width="20.85546875" style="209" customWidth="1"/>
    <col min="14071" max="14071" width="33.42578125" style="209" customWidth="1"/>
    <col min="14072" max="14072" width="19.7109375" style="209" customWidth="1"/>
    <col min="14073" max="14073" width="19.140625" style="209" customWidth="1"/>
    <col min="14074" max="14074" width="9.28515625" style="209" customWidth="1"/>
    <col min="14075" max="14075" width="18.7109375" style="209" customWidth="1"/>
    <col min="14076" max="14324" width="9.140625" style="209"/>
    <col min="14325" max="14325" width="13.7109375" style="209" customWidth="1"/>
    <col min="14326" max="14326" width="20.85546875" style="209" customWidth="1"/>
    <col min="14327" max="14327" width="33.42578125" style="209" customWidth="1"/>
    <col min="14328" max="14328" width="19.7109375" style="209" customWidth="1"/>
    <col min="14329" max="14329" width="19.140625" style="209" customWidth="1"/>
    <col min="14330" max="14330" width="9.28515625" style="209" customWidth="1"/>
    <col min="14331" max="14331" width="18.7109375" style="209" customWidth="1"/>
    <col min="14332" max="14580" width="9.140625" style="209"/>
    <col min="14581" max="14581" width="13.7109375" style="209" customWidth="1"/>
    <col min="14582" max="14582" width="20.85546875" style="209" customWidth="1"/>
    <col min="14583" max="14583" width="33.42578125" style="209" customWidth="1"/>
    <col min="14584" max="14584" width="19.7109375" style="209" customWidth="1"/>
    <col min="14585" max="14585" width="19.140625" style="209" customWidth="1"/>
    <col min="14586" max="14586" width="9.28515625" style="209" customWidth="1"/>
    <col min="14587" max="14587" width="18.7109375" style="209" customWidth="1"/>
    <col min="14588" max="14836" width="9.140625" style="209"/>
    <col min="14837" max="14837" width="13.7109375" style="209" customWidth="1"/>
    <col min="14838" max="14838" width="20.85546875" style="209" customWidth="1"/>
    <col min="14839" max="14839" width="33.42578125" style="209" customWidth="1"/>
    <col min="14840" max="14840" width="19.7109375" style="209" customWidth="1"/>
    <col min="14841" max="14841" width="19.140625" style="209" customWidth="1"/>
    <col min="14842" max="14842" width="9.28515625" style="209" customWidth="1"/>
    <col min="14843" max="14843" width="18.7109375" style="209" customWidth="1"/>
    <col min="14844" max="15092" width="9.140625" style="209"/>
    <col min="15093" max="15093" width="13.7109375" style="209" customWidth="1"/>
    <col min="15094" max="15094" width="20.85546875" style="209" customWidth="1"/>
    <col min="15095" max="15095" width="33.42578125" style="209" customWidth="1"/>
    <col min="15096" max="15096" width="19.7109375" style="209" customWidth="1"/>
    <col min="15097" max="15097" width="19.140625" style="209" customWidth="1"/>
    <col min="15098" max="15098" width="9.28515625" style="209" customWidth="1"/>
    <col min="15099" max="15099" width="18.7109375" style="209" customWidth="1"/>
    <col min="15100" max="15348" width="9.140625" style="209"/>
    <col min="15349" max="15349" width="13.7109375" style="209" customWidth="1"/>
    <col min="15350" max="15350" width="20.85546875" style="209" customWidth="1"/>
    <col min="15351" max="15351" width="33.42578125" style="209" customWidth="1"/>
    <col min="15352" max="15352" width="19.7109375" style="209" customWidth="1"/>
    <col min="15353" max="15353" width="19.140625" style="209" customWidth="1"/>
    <col min="15354" max="15354" width="9.28515625" style="209" customWidth="1"/>
    <col min="15355" max="15355" width="18.7109375" style="209" customWidth="1"/>
    <col min="15356" max="15604" width="9.140625" style="209"/>
    <col min="15605" max="15605" width="13.7109375" style="209" customWidth="1"/>
    <col min="15606" max="15606" width="20.85546875" style="209" customWidth="1"/>
    <col min="15607" max="15607" width="33.42578125" style="209" customWidth="1"/>
    <col min="15608" max="15608" width="19.7109375" style="209" customWidth="1"/>
    <col min="15609" max="15609" width="19.140625" style="209" customWidth="1"/>
    <col min="15610" max="15610" width="9.28515625" style="209" customWidth="1"/>
    <col min="15611" max="15611" width="18.7109375" style="209" customWidth="1"/>
    <col min="15612" max="15860" width="9.140625" style="209"/>
    <col min="15861" max="15861" width="13.7109375" style="209" customWidth="1"/>
    <col min="15862" max="15862" width="20.85546875" style="209" customWidth="1"/>
    <col min="15863" max="15863" width="33.42578125" style="209" customWidth="1"/>
    <col min="15864" max="15864" width="19.7109375" style="209" customWidth="1"/>
    <col min="15865" max="15865" width="19.140625" style="209" customWidth="1"/>
    <col min="15866" max="15866" width="9.28515625" style="209" customWidth="1"/>
    <col min="15867" max="15867" width="18.7109375" style="209" customWidth="1"/>
    <col min="15868" max="16116" width="9.140625" style="209"/>
    <col min="16117" max="16117" width="13.7109375" style="209" customWidth="1"/>
    <col min="16118" max="16118" width="20.85546875" style="209" customWidth="1"/>
    <col min="16119" max="16119" width="33.42578125" style="209" customWidth="1"/>
    <col min="16120" max="16120" width="19.7109375" style="209" customWidth="1"/>
    <col min="16121" max="16121" width="19.140625" style="209" customWidth="1"/>
    <col min="16122" max="16122" width="9.28515625" style="209" customWidth="1"/>
    <col min="16123" max="16123" width="18.7109375" style="209" customWidth="1"/>
    <col min="16124" max="16384" width="9.140625" style="209"/>
  </cols>
  <sheetData>
    <row r="1" spans="1:7" x14ac:dyDescent="0.2">
      <c r="A1" s="210" t="s">
        <v>0</v>
      </c>
      <c r="B1" s="209" t="s">
        <v>1</v>
      </c>
      <c r="C1" s="209" t="s">
        <v>2</v>
      </c>
      <c r="D1" s="211" t="s">
        <v>3</v>
      </c>
      <c r="E1" s="209" t="s">
        <v>259</v>
      </c>
      <c r="F1" s="209" t="s">
        <v>260</v>
      </c>
      <c r="G1" s="209" t="s">
        <v>4</v>
      </c>
    </row>
    <row r="2" spans="1:7" ht="13.5" customHeight="1" x14ac:dyDescent="0.2">
      <c r="A2" s="210">
        <v>38596</v>
      </c>
      <c r="D2" s="211">
        <v>100000</v>
      </c>
      <c r="F2" s="209" t="s">
        <v>5</v>
      </c>
      <c r="G2" s="209" t="s">
        <v>6</v>
      </c>
    </row>
    <row r="3" spans="1:7" ht="13.5" customHeight="1" x14ac:dyDescent="0.2">
      <c r="A3" s="210">
        <v>38765</v>
      </c>
      <c r="D3" s="211">
        <v>176000</v>
      </c>
      <c r="F3" s="209" t="s">
        <v>7</v>
      </c>
      <c r="G3" s="209" t="s">
        <v>8</v>
      </c>
    </row>
    <row r="4" spans="1:7" ht="13.5" customHeight="1" x14ac:dyDescent="0.2">
      <c r="A4" s="210">
        <v>38765</v>
      </c>
      <c r="D4" s="211">
        <v>100000</v>
      </c>
      <c r="F4" s="209" t="s">
        <v>9</v>
      </c>
      <c r="G4" s="209" t="s">
        <v>10</v>
      </c>
    </row>
    <row r="5" spans="1:7" x14ac:dyDescent="0.2">
      <c r="D5" s="211">
        <f>SUM(D2:D4)</f>
        <v>376000</v>
      </c>
    </row>
    <row r="6" spans="1:7" ht="13.5" customHeight="1" x14ac:dyDescent="0.2">
      <c r="A6" s="210">
        <v>38947</v>
      </c>
      <c r="D6" s="211">
        <v>31200</v>
      </c>
      <c r="F6" s="209" t="s">
        <v>11</v>
      </c>
      <c r="G6" s="209" t="s">
        <v>12</v>
      </c>
    </row>
    <row r="7" spans="1:7" ht="13.5" customHeight="1" x14ac:dyDescent="0.2">
      <c r="A7" s="210">
        <v>38947</v>
      </c>
      <c r="D7" s="211">
        <v>7500</v>
      </c>
      <c r="F7" s="209" t="s">
        <v>13</v>
      </c>
      <c r="G7" s="209" t="s">
        <v>12</v>
      </c>
    </row>
    <row r="8" spans="1:7" ht="13.5" customHeight="1" x14ac:dyDescent="0.2">
      <c r="A8" s="210">
        <v>38958</v>
      </c>
      <c r="D8" s="211">
        <v>10000</v>
      </c>
      <c r="F8" s="209" t="s">
        <v>14</v>
      </c>
      <c r="G8" s="209" t="s">
        <v>14</v>
      </c>
    </row>
    <row r="9" spans="1:7" ht="13.5" customHeight="1" x14ac:dyDescent="0.2">
      <c r="A9" s="210" t="s">
        <v>15</v>
      </c>
      <c r="D9" s="211">
        <v>99133.26</v>
      </c>
      <c r="F9" s="209" t="s">
        <v>261</v>
      </c>
      <c r="G9" s="209" t="s">
        <v>16</v>
      </c>
    </row>
    <row r="10" spans="1:7" ht="13.5" customHeight="1" x14ac:dyDescent="0.2">
      <c r="A10" s="210" t="s">
        <v>15</v>
      </c>
      <c r="D10" s="211">
        <v>182012.38</v>
      </c>
      <c r="E10" s="209" t="s">
        <v>17</v>
      </c>
      <c r="F10" s="209" t="s">
        <v>18</v>
      </c>
      <c r="G10" s="209" t="s">
        <v>10</v>
      </c>
    </row>
    <row r="11" spans="1:7" ht="13.5" customHeight="1" x14ac:dyDescent="0.2">
      <c r="A11" s="210" t="s">
        <v>15</v>
      </c>
      <c r="D11" s="211">
        <v>62187.44</v>
      </c>
      <c r="E11" s="209" t="s">
        <v>17</v>
      </c>
      <c r="F11" s="209" t="s">
        <v>19</v>
      </c>
      <c r="G11" s="209" t="s">
        <v>10</v>
      </c>
    </row>
    <row r="12" spans="1:7" ht="13.5" customHeight="1" x14ac:dyDescent="0.2">
      <c r="A12" s="210">
        <v>39167</v>
      </c>
      <c r="D12" s="211">
        <v>162439</v>
      </c>
      <c r="F12" s="209" t="s">
        <v>20</v>
      </c>
      <c r="G12" s="209" t="s">
        <v>21</v>
      </c>
    </row>
    <row r="13" spans="1:7" x14ac:dyDescent="0.2">
      <c r="D13" s="211">
        <f>SUM(D6:D12)</f>
        <v>554472.08000000007</v>
      </c>
    </row>
    <row r="14" spans="1:7" ht="13.5" customHeight="1" x14ac:dyDescent="0.2">
      <c r="A14" s="210">
        <v>39216</v>
      </c>
      <c r="D14" s="211">
        <v>78118</v>
      </c>
      <c r="F14" s="209" t="s">
        <v>22</v>
      </c>
      <c r="G14" s="209" t="s">
        <v>21</v>
      </c>
    </row>
    <row r="15" spans="1:7" ht="13.5" customHeight="1" x14ac:dyDescent="0.2">
      <c r="A15" s="210">
        <v>39394</v>
      </c>
      <c r="D15" s="211">
        <v>77250</v>
      </c>
      <c r="F15" s="209" t="s">
        <v>23</v>
      </c>
      <c r="G15" s="209" t="s">
        <v>21</v>
      </c>
    </row>
    <row r="16" spans="1:7" x14ac:dyDescent="0.2">
      <c r="A16" s="210">
        <v>39436</v>
      </c>
      <c r="D16" s="211">
        <v>16950</v>
      </c>
      <c r="F16" s="209" t="s">
        <v>24</v>
      </c>
      <c r="G16" s="209" t="s">
        <v>21</v>
      </c>
    </row>
    <row r="17" spans="1:7" ht="13.5" customHeight="1" x14ac:dyDescent="0.2">
      <c r="A17" s="210">
        <v>39475</v>
      </c>
      <c r="D17" s="211">
        <v>100000</v>
      </c>
      <c r="F17" s="209" t="s">
        <v>9</v>
      </c>
      <c r="G17" s="209" t="s">
        <v>10</v>
      </c>
    </row>
    <row r="18" spans="1:7" ht="13.5" customHeight="1" x14ac:dyDescent="0.2">
      <c r="A18" s="210">
        <v>39526</v>
      </c>
      <c r="D18" s="211">
        <v>21369</v>
      </c>
      <c r="F18" s="209" t="s">
        <v>25</v>
      </c>
      <c r="G18" s="209" t="s">
        <v>21</v>
      </c>
    </row>
    <row r="19" spans="1:7" ht="13.5" customHeight="1" x14ac:dyDescent="0.2">
      <c r="A19" s="210">
        <v>39538</v>
      </c>
      <c r="D19" s="211">
        <v>8040</v>
      </c>
      <c r="F19" s="209" t="s">
        <v>26</v>
      </c>
      <c r="G19" s="209" t="s">
        <v>21</v>
      </c>
    </row>
    <row r="20" spans="1:7" x14ac:dyDescent="0.2">
      <c r="D20" s="211">
        <f>SUM(D14:D19)</f>
        <v>301727</v>
      </c>
    </row>
    <row r="21" spans="1:7" ht="13.5" customHeight="1" x14ac:dyDescent="0.2">
      <c r="A21" s="210">
        <v>39615</v>
      </c>
      <c r="B21" s="209" t="s">
        <v>27</v>
      </c>
      <c r="D21" s="211">
        <v>11970</v>
      </c>
      <c r="F21" s="209" t="s">
        <v>293</v>
      </c>
    </row>
    <row r="22" spans="1:7" x14ac:dyDescent="0.2">
      <c r="A22" s="210">
        <v>39622</v>
      </c>
      <c r="B22" s="209" t="s">
        <v>27</v>
      </c>
      <c r="D22" s="211">
        <v>10620</v>
      </c>
      <c r="F22" s="209" t="s">
        <v>294</v>
      </c>
    </row>
    <row r="23" spans="1:7" ht="13.5" customHeight="1" x14ac:dyDescent="0.2">
      <c r="A23" s="210">
        <v>39689</v>
      </c>
      <c r="B23" s="209" t="s">
        <v>27</v>
      </c>
      <c r="C23" s="209" t="s">
        <v>295</v>
      </c>
      <c r="D23" s="211">
        <v>24759.73</v>
      </c>
      <c r="F23" s="209" t="s">
        <v>295</v>
      </c>
    </row>
    <row r="24" spans="1:7" ht="13.5" customHeight="1" x14ac:dyDescent="0.2">
      <c r="A24" s="210">
        <v>39689</v>
      </c>
      <c r="B24" s="209" t="s">
        <v>27</v>
      </c>
      <c r="C24" s="209" t="s">
        <v>74</v>
      </c>
      <c r="D24" s="211">
        <v>69043.55</v>
      </c>
      <c r="F24" s="209" t="s">
        <v>74</v>
      </c>
    </row>
    <row r="25" spans="1:7" ht="13.5" customHeight="1" x14ac:dyDescent="0.2">
      <c r="A25" s="210">
        <v>39689</v>
      </c>
      <c r="B25" s="209" t="s">
        <v>31</v>
      </c>
      <c r="C25" s="209" t="s">
        <v>74</v>
      </c>
      <c r="D25" s="211">
        <v>8141.93</v>
      </c>
      <c r="F25" s="209" t="s">
        <v>74</v>
      </c>
    </row>
    <row r="26" spans="1:7" ht="13.5" customHeight="1" x14ac:dyDescent="0.2">
      <c r="A26" s="210">
        <v>39699</v>
      </c>
      <c r="B26" s="209" t="s">
        <v>31</v>
      </c>
      <c r="D26" s="211">
        <v>36868</v>
      </c>
      <c r="F26" s="209" t="s">
        <v>296</v>
      </c>
    </row>
    <row r="27" spans="1:7" ht="13.5" customHeight="1" x14ac:dyDescent="0.2">
      <c r="A27" s="210">
        <v>39773</v>
      </c>
      <c r="B27" s="209" t="s">
        <v>27</v>
      </c>
      <c r="D27" s="211">
        <v>9304</v>
      </c>
    </row>
    <row r="28" spans="1:7" ht="13.5" customHeight="1" x14ac:dyDescent="0.2">
      <c r="A28" s="210">
        <v>39835</v>
      </c>
      <c r="B28" s="209" t="s">
        <v>27</v>
      </c>
      <c r="C28" s="209" t="s">
        <v>28</v>
      </c>
      <c r="D28" s="211">
        <v>22230</v>
      </c>
      <c r="F28" s="209" t="s">
        <v>262</v>
      </c>
      <c r="G28" s="209" t="s">
        <v>29</v>
      </c>
    </row>
    <row r="29" spans="1:7" ht="13.5" customHeight="1" x14ac:dyDescent="0.2">
      <c r="A29" s="210">
        <v>39835</v>
      </c>
      <c r="B29" s="209" t="s">
        <v>27</v>
      </c>
      <c r="C29" s="209" t="s">
        <v>30</v>
      </c>
      <c r="D29" s="211">
        <v>22334</v>
      </c>
    </row>
    <row r="30" spans="1:7" ht="13.5" customHeight="1" x14ac:dyDescent="0.2">
      <c r="A30" s="210">
        <v>39835</v>
      </c>
      <c r="B30" s="209" t="s">
        <v>31</v>
      </c>
      <c r="C30" s="209" t="s">
        <v>32</v>
      </c>
      <c r="D30" s="211">
        <v>8052</v>
      </c>
      <c r="F30" s="209" t="s">
        <v>33</v>
      </c>
      <c r="G30" s="209" t="s">
        <v>8</v>
      </c>
    </row>
    <row r="31" spans="1:7" ht="13.5" customHeight="1" x14ac:dyDescent="0.2">
      <c r="A31" s="210">
        <v>39835</v>
      </c>
      <c r="B31" s="209" t="s">
        <v>27</v>
      </c>
      <c r="C31" s="209" t="s">
        <v>297</v>
      </c>
      <c r="D31" s="211">
        <v>23351.5</v>
      </c>
      <c r="F31" s="209" t="s">
        <v>297</v>
      </c>
    </row>
    <row r="32" spans="1:7" ht="13.5" customHeight="1" x14ac:dyDescent="0.2">
      <c r="A32" s="210">
        <v>39835</v>
      </c>
      <c r="B32" s="209" t="s">
        <v>27</v>
      </c>
      <c r="C32" s="209" t="s">
        <v>28</v>
      </c>
      <c r="D32" s="211">
        <v>9201.76</v>
      </c>
      <c r="F32" s="209" t="s">
        <v>28</v>
      </c>
    </row>
    <row r="33" spans="1:7" ht="13.5" customHeight="1" x14ac:dyDescent="0.2">
      <c r="A33" s="210">
        <v>39840</v>
      </c>
      <c r="B33" s="209" t="s">
        <v>27</v>
      </c>
      <c r="C33" s="209" t="s">
        <v>32</v>
      </c>
      <c r="D33" s="211">
        <v>9087</v>
      </c>
    </row>
    <row r="34" spans="1:7" ht="13.5" customHeight="1" x14ac:dyDescent="0.2">
      <c r="A34" s="210">
        <v>39860</v>
      </c>
      <c r="B34" s="209" t="s">
        <v>27</v>
      </c>
      <c r="C34" s="209" t="s">
        <v>34</v>
      </c>
      <c r="D34" s="211">
        <v>83527</v>
      </c>
      <c r="F34" s="209" t="s">
        <v>35</v>
      </c>
      <c r="G34" s="209" t="s">
        <v>29</v>
      </c>
    </row>
    <row r="35" spans="1:7" ht="13.5" customHeight="1" x14ac:dyDescent="0.2">
      <c r="A35" s="210">
        <v>39860</v>
      </c>
      <c r="B35" s="209" t="s">
        <v>31</v>
      </c>
      <c r="C35" s="209" t="s">
        <v>34</v>
      </c>
      <c r="D35" s="211">
        <v>1169</v>
      </c>
      <c r="F35" s="209" t="s">
        <v>35</v>
      </c>
      <c r="G35" s="209" t="s">
        <v>21</v>
      </c>
    </row>
    <row r="36" spans="1:7" ht="13.5" customHeight="1" x14ac:dyDescent="0.2">
      <c r="A36" s="210">
        <v>39869</v>
      </c>
      <c r="B36" s="209" t="s">
        <v>27</v>
      </c>
      <c r="C36" s="209" t="s">
        <v>28</v>
      </c>
      <c r="D36" s="211">
        <v>12077</v>
      </c>
      <c r="F36" s="209" t="s">
        <v>262</v>
      </c>
      <c r="G36" s="209" t="s">
        <v>29</v>
      </c>
    </row>
    <row r="37" spans="1:7" ht="13.5" customHeight="1" x14ac:dyDescent="0.2">
      <c r="A37" s="210">
        <v>39869</v>
      </c>
      <c r="B37" s="209" t="s">
        <v>27</v>
      </c>
      <c r="C37" s="209" t="s">
        <v>36</v>
      </c>
      <c r="D37" s="211">
        <v>12000</v>
      </c>
    </row>
    <row r="38" spans="1:7" ht="13.5" customHeight="1" x14ac:dyDescent="0.2">
      <c r="A38" s="210">
        <v>39877</v>
      </c>
      <c r="B38" s="209" t="s">
        <v>41</v>
      </c>
      <c r="C38" s="209" t="s">
        <v>42</v>
      </c>
      <c r="D38" s="211">
        <v>50000</v>
      </c>
      <c r="F38" s="209" t="s">
        <v>298</v>
      </c>
    </row>
    <row r="39" spans="1:7" ht="13.5" customHeight="1" x14ac:dyDescent="0.2">
      <c r="A39" s="210">
        <v>39889</v>
      </c>
      <c r="B39" s="209" t="s">
        <v>27</v>
      </c>
      <c r="C39" s="209" t="s">
        <v>32</v>
      </c>
      <c r="D39" s="211">
        <v>2619</v>
      </c>
    </row>
    <row r="40" spans="1:7" ht="13.5" customHeight="1" x14ac:dyDescent="0.2">
      <c r="A40" s="210">
        <v>39897</v>
      </c>
      <c r="B40" s="209" t="s">
        <v>27</v>
      </c>
      <c r="C40" s="209" t="s">
        <v>37</v>
      </c>
      <c r="D40" s="211">
        <v>90183</v>
      </c>
    </row>
    <row r="41" spans="1:7" ht="13.5" customHeight="1" x14ac:dyDescent="0.2">
      <c r="A41" s="210">
        <v>39897</v>
      </c>
      <c r="B41" s="209" t="s">
        <v>31</v>
      </c>
      <c r="C41" s="209" t="s">
        <v>37</v>
      </c>
      <c r="D41" s="211">
        <v>12708</v>
      </c>
      <c r="F41" s="209" t="s">
        <v>38</v>
      </c>
      <c r="G41" s="209" t="s">
        <v>6</v>
      </c>
    </row>
    <row r="42" spans="1:7" ht="13.5" customHeight="1" x14ac:dyDescent="0.2">
      <c r="A42" s="210">
        <v>39903</v>
      </c>
      <c r="B42" s="209" t="s">
        <v>39</v>
      </c>
      <c r="C42" s="209" t="s">
        <v>40</v>
      </c>
      <c r="D42" s="211">
        <v>1371</v>
      </c>
      <c r="F42" s="209" t="s">
        <v>14</v>
      </c>
      <c r="G42" s="209" t="s">
        <v>14</v>
      </c>
    </row>
    <row r="43" spans="1:7" x14ac:dyDescent="0.2">
      <c r="D43" s="211">
        <f>SUM(D21:D42)</f>
        <v>530617.47</v>
      </c>
    </row>
    <row r="44" spans="1:7" x14ac:dyDescent="0.2">
      <c r="A44" s="210">
        <v>39918</v>
      </c>
      <c r="B44" s="209" t="s">
        <v>27</v>
      </c>
      <c r="C44" s="209" t="s">
        <v>36</v>
      </c>
      <c r="D44" s="211">
        <v>4766</v>
      </c>
    </row>
    <row r="45" spans="1:7" ht="13.5" customHeight="1" x14ac:dyDescent="0.2">
      <c r="A45" s="210">
        <v>39938</v>
      </c>
      <c r="B45" s="209" t="s">
        <v>9</v>
      </c>
      <c r="C45" s="209" t="s">
        <v>43</v>
      </c>
      <c r="D45" s="211">
        <v>100000</v>
      </c>
      <c r="F45" s="209" t="s">
        <v>9</v>
      </c>
      <c r="G45" s="209" t="s">
        <v>10</v>
      </c>
    </row>
    <row r="46" spans="1:7" ht="13.5" customHeight="1" x14ac:dyDescent="0.2">
      <c r="A46" s="210">
        <v>39951</v>
      </c>
      <c r="B46" s="209" t="s">
        <v>27</v>
      </c>
      <c r="C46" s="209" t="s">
        <v>44</v>
      </c>
      <c r="D46" s="211">
        <v>36967</v>
      </c>
    </row>
    <row r="47" spans="1:7" ht="13.5" customHeight="1" x14ac:dyDescent="0.2">
      <c r="A47" s="210">
        <v>39951</v>
      </c>
      <c r="B47" s="209" t="s">
        <v>31</v>
      </c>
      <c r="C47" s="209" t="s">
        <v>44</v>
      </c>
      <c r="D47" s="211">
        <v>10312</v>
      </c>
      <c r="F47" s="209" t="s">
        <v>45</v>
      </c>
      <c r="G47" s="209" t="s">
        <v>12</v>
      </c>
    </row>
    <row r="48" spans="1:7" ht="13.5" customHeight="1" x14ac:dyDescent="0.2">
      <c r="A48" s="210">
        <v>39972</v>
      </c>
      <c r="B48" s="209" t="s">
        <v>31</v>
      </c>
      <c r="C48" s="209" t="s">
        <v>37</v>
      </c>
      <c r="D48" s="211">
        <v>1942</v>
      </c>
      <c r="F48" s="209" t="s">
        <v>38</v>
      </c>
      <c r="G48" s="209" t="s">
        <v>6</v>
      </c>
    </row>
    <row r="49" spans="1:7" ht="13.5" customHeight="1" x14ac:dyDescent="0.2">
      <c r="A49" s="210">
        <v>40217</v>
      </c>
      <c r="B49" s="209" t="s">
        <v>54</v>
      </c>
      <c r="C49" s="209" t="s">
        <v>42</v>
      </c>
      <c r="D49" s="211">
        <v>100000</v>
      </c>
      <c r="E49" s="209" t="s">
        <v>287</v>
      </c>
      <c r="F49" s="209" t="s">
        <v>288</v>
      </c>
      <c r="G49" s="209" t="s">
        <v>289</v>
      </c>
    </row>
    <row r="50" spans="1:7" ht="13.5" customHeight="1" x14ac:dyDescent="0.2">
      <c r="A50" s="210">
        <v>40176</v>
      </c>
      <c r="B50" s="209" t="s">
        <v>53</v>
      </c>
      <c r="C50" s="209" t="s">
        <v>43</v>
      </c>
      <c r="D50" s="211">
        <v>344288</v>
      </c>
      <c r="F50" s="209" t="s">
        <v>414</v>
      </c>
      <c r="G50" s="209" t="s">
        <v>53</v>
      </c>
    </row>
    <row r="51" spans="1:7" ht="13.5" customHeight="1" x14ac:dyDescent="0.2">
      <c r="A51" s="210">
        <v>40003</v>
      </c>
      <c r="B51" s="209" t="s">
        <v>9</v>
      </c>
      <c r="C51" s="209" t="s">
        <v>43</v>
      </c>
      <c r="D51" s="211">
        <v>100000</v>
      </c>
      <c r="F51" s="209" t="s">
        <v>9</v>
      </c>
      <c r="G51" s="209" t="s">
        <v>10</v>
      </c>
    </row>
    <row r="52" spans="1:7" ht="13.5" customHeight="1" x14ac:dyDescent="0.2">
      <c r="A52" s="210">
        <v>39972</v>
      </c>
      <c r="B52" s="209" t="s">
        <v>27</v>
      </c>
      <c r="C52" s="209" t="s">
        <v>37</v>
      </c>
      <c r="D52" s="211">
        <v>13779</v>
      </c>
    </row>
    <row r="53" spans="1:7" ht="13.5" customHeight="1" x14ac:dyDescent="0.2">
      <c r="A53" s="210">
        <v>39981</v>
      </c>
      <c r="B53" s="209" t="s">
        <v>27</v>
      </c>
      <c r="C53" s="209" t="s">
        <v>46</v>
      </c>
      <c r="D53" s="211">
        <v>14878</v>
      </c>
    </row>
    <row r="54" spans="1:7" ht="13.5" customHeight="1" x14ac:dyDescent="0.2">
      <c r="A54" s="210">
        <v>40001</v>
      </c>
      <c r="B54" s="209" t="s">
        <v>27</v>
      </c>
      <c r="C54" s="209" t="s">
        <v>47</v>
      </c>
      <c r="D54" s="211">
        <v>14564</v>
      </c>
    </row>
    <row r="55" spans="1:7" ht="13.5" customHeight="1" x14ac:dyDescent="0.2">
      <c r="A55" s="210">
        <v>40003</v>
      </c>
      <c r="B55" s="209" t="s">
        <v>27</v>
      </c>
      <c r="C55" s="209" t="s">
        <v>43</v>
      </c>
      <c r="D55" s="211">
        <v>142130</v>
      </c>
    </row>
    <row r="56" spans="1:7" ht="13.5" customHeight="1" x14ac:dyDescent="0.2">
      <c r="A56" s="210">
        <v>40009</v>
      </c>
      <c r="B56" s="209" t="s">
        <v>27</v>
      </c>
      <c r="C56" s="209" t="s">
        <v>48</v>
      </c>
      <c r="D56" s="211">
        <v>92673</v>
      </c>
      <c r="F56" s="209" t="s">
        <v>49</v>
      </c>
      <c r="G56" s="209" t="s">
        <v>29</v>
      </c>
    </row>
    <row r="57" spans="1:7" ht="13.5" customHeight="1" x14ac:dyDescent="0.2">
      <c r="A57" s="210">
        <v>40009</v>
      </c>
      <c r="B57" s="209" t="s">
        <v>31</v>
      </c>
      <c r="C57" s="209" t="s">
        <v>48</v>
      </c>
      <c r="D57" s="211">
        <v>75750</v>
      </c>
      <c r="F57" s="209" t="s">
        <v>49</v>
      </c>
      <c r="G57" s="209" t="s">
        <v>21</v>
      </c>
    </row>
    <row r="58" spans="1:7" ht="13.5" customHeight="1" x14ac:dyDescent="0.2">
      <c r="A58" s="210">
        <v>40059</v>
      </c>
      <c r="B58" s="209" t="s">
        <v>27</v>
      </c>
      <c r="C58" s="209" t="s">
        <v>50</v>
      </c>
      <c r="D58" s="211">
        <v>107500</v>
      </c>
      <c r="F58" s="209" t="s">
        <v>51</v>
      </c>
      <c r="G58" s="209" t="s">
        <v>52</v>
      </c>
    </row>
    <row r="59" spans="1:7" ht="13.5" customHeight="1" x14ac:dyDescent="0.2">
      <c r="A59" s="210">
        <v>40059</v>
      </c>
      <c r="B59" s="209" t="s">
        <v>31</v>
      </c>
      <c r="C59" s="209" t="s">
        <v>50</v>
      </c>
      <c r="D59" s="211">
        <v>14218</v>
      </c>
      <c r="F59" s="209" t="s">
        <v>51</v>
      </c>
      <c r="G59" s="209" t="s">
        <v>6</v>
      </c>
    </row>
    <row r="60" spans="1:7" ht="13.5" customHeight="1" x14ac:dyDescent="0.2">
      <c r="A60" s="210">
        <v>40233</v>
      </c>
      <c r="B60" s="209" t="s">
        <v>27</v>
      </c>
      <c r="C60" s="209" t="s">
        <v>55</v>
      </c>
      <c r="D60" s="211">
        <v>7622</v>
      </c>
      <c r="F60" s="209" t="s">
        <v>56</v>
      </c>
      <c r="G60" s="209" t="s">
        <v>52</v>
      </c>
    </row>
    <row r="61" spans="1:7" ht="13.5" customHeight="1" x14ac:dyDescent="0.2">
      <c r="A61" s="210">
        <v>40233</v>
      </c>
      <c r="B61" s="209" t="s">
        <v>27</v>
      </c>
      <c r="C61" s="209" t="s">
        <v>55</v>
      </c>
      <c r="D61" s="211">
        <v>7622</v>
      </c>
      <c r="F61" s="209" t="s">
        <v>56</v>
      </c>
      <c r="G61" s="209" t="s">
        <v>52</v>
      </c>
    </row>
    <row r="62" spans="1:7" ht="13.5" customHeight="1" x14ac:dyDescent="0.2">
      <c r="A62" s="210">
        <v>40266</v>
      </c>
      <c r="B62" s="209" t="s">
        <v>31</v>
      </c>
      <c r="C62" s="209" t="s">
        <v>57</v>
      </c>
      <c r="D62" s="211">
        <v>6450</v>
      </c>
      <c r="F62" s="209" t="s">
        <v>58</v>
      </c>
      <c r="G62" s="209" t="s">
        <v>6</v>
      </c>
    </row>
    <row r="63" spans="1:7" ht="13.5" customHeight="1" x14ac:dyDescent="0.2">
      <c r="A63" s="210">
        <v>40266</v>
      </c>
      <c r="B63" s="209" t="s">
        <v>27</v>
      </c>
      <c r="C63" s="209" t="s">
        <v>57</v>
      </c>
      <c r="D63" s="211">
        <v>42500</v>
      </c>
      <c r="F63" s="209" t="s">
        <v>58</v>
      </c>
      <c r="G63" s="209" t="s">
        <v>52</v>
      </c>
    </row>
    <row r="64" spans="1:7" x14ac:dyDescent="0.2">
      <c r="D64" s="211">
        <f>SUM(D44:D63)</f>
        <v>1237961</v>
      </c>
    </row>
    <row r="65" spans="1:7" ht="13.5" customHeight="1" x14ac:dyDescent="0.2">
      <c r="A65" s="210">
        <v>40344</v>
      </c>
      <c r="B65" s="209" t="s">
        <v>31</v>
      </c>
      <c r="C65" s="209" t="s">
        <v>55</v>
      </c>
      <c r="D65" s="211">
        <v>43542</v>
      </c>
      <c r="F65" s="209" t="s">
        <v>59</v>
      </c>
      <c r="G65" s="209" t="s">
        <v>8</v>
      </c>
    </row>
    <row r="66" spans="1:7" ht="13.5" customHeight="1" x14ac:dyDescent="0.2">
      <c r="A66" s="210">
        <v>40368</v>
      </c>
      <c r="B66" s="209" t="s">
        <v>31</v>
      </c>
      <c r="C66" s="209" t="s">
        <v>55</v>
      </c>
      <c r="D66" s="211">
        <v>51945</v>
      </c>
      <c r="F66" s="209" t="s">
        <v>60</v>
      </c>
      <c r="G66" s="209" t="s">
        <v>6</v>
      </c>
    </row>
    <row r="67" spans="1:7" ht="13.5" customHeight="1" x14ac:dyDescent="0.2">
      <c r="A67" s="210">
        <v>40368</v>
      </c>
      <c r="B67" s="209" t="s">
        <v>27</v>
      </c>
      <c r="C67" s="209" t="s">
        <v>48</v>
      </c>
      <c r="D67" s="211">
        <v>39375</v>
      </c>
      <c r="G67" s="209" t="s">
        <v>61</v>
      </c>
    </row>
    <row r="68" spans="1:7" ht="13.5" customHeight="1" x14ac:dyDescent="0.2">
      <c r="A68" s="210">
        <v>40368</v>
      </c>
      <c r="B68" s="209" t="s">
        <v>31</v>
      </c>
      <c r="C68" s="209" t="s">
        <v>55</v>
      </c>
      <c r="D68" s="211">
        <v>71753</v>
      </c>
      <c r="F68" s="209" t="s">
        <v>62</v>
      </c>
      <c r="G68" s="209" t="s">
        <v>6</v>
      </c>
    </row>
    <row r="69" spans="1:7" ht="13.5" customHeight="1" x14ac:dyDescent="0.2">
      <c r="A69" s="210">
        <v>40375</v>
      </c>
      <c r="B69" s="209" t="s">
        <v>27</v>
      </c>
      <c r="C69" s="209" t="s">
        <v>63</v>
      </c>
      <c r="D69" s="211">
        <v>20000</v>
      </c>
      <c r="F69" s="209" t="s">
        <v>64</v>
      </c>
      <c r="G69" s="209" t="s">
        <v>29</v>
      </c>
    </row>
    <row r="70" spans="1:7" ht="13.5" customHeight="1" x14ac:dyDescent="0.2">
      <c r="A70" s="210">
        <v>40385</v>
      </c>
      <c r="B70" s="209" t="s">
        <v>53</v>
      </c>
      <c r="C70" s="209" t="s">
        <v>65</v>
      </c>
      <c r="D70" s="211">
        <v>115149</v>
      </c>
      <c r="G70" s="209" t="s">
        <v>53</v>
      </c>
    </row>
    <row r="71" spans="1:7" ht="13.5" customHeight="1" x14ac:dyDescent="0.2">
      <c r="A71" s="210">
        <v>40417</v>
      </c>
      <c r="B71" s="209" t="s">
        <v>31</v>
      </c>
      <c r="C71" s="209" t="s">
        <v>66</v>
      </c>
      <c r="D71" s="211">
        <v>101253</v>
      </c>
      <c r="F71" s="209" t="s">
        <v>67</v>
      </c>
      <c r="G71" s="209" t="s">
        <v>21</v>
      </c>
    </row>
    <row r="72" spans="1:7" ht="13.5" customHeight="1" x14ac:dyDescent="0.2">
      <c r="A72" s="210">
        <v>40417</v>
      </c>
      <c r="B72" s="209" t="s">
        <v>53</v>
      </c>
      <c r="C72" s="209" t="s">
        <v>66</v>
      </c>
      <c r="D72" s="211">
        <v>360469</v>
      </c>
      <c r="G72" s="209" t="s">
        <v>53</v>
      </c>
    </row>
    <row r="73" spans="1:7" ht="13.5" customHeight="1" x14ac:dyDescent="0.2">
      <c r="A73" s="210">
        <v>40434</v>
      </c>
      <c r="B73" s="209" t="s">
        <v>53</v>
      </c>
      <c r="C73" s="209" t="s">
        <v>68</v>
      </c>
      <c r="D73" s="211">
        <v>184716</v>
      </c>
      <c r="G73" s="209" t="s">
        <v>53</v>
      </c>
    </row>
    <row r="74" spans="1:7" ht="13.5" customHeight="1" x14ac:dyDescent="0.2">
      <c r="A74" s="210">
        <v>40462</v>
      </c>
      <c r="B74" s="209" t="s">
        <v>9</v>
      </c>
      <c r="C74" s="209" t="s">
        <v>43</v>
      </c>
      <c r="D74" s="211">
        <v>100000</v>
      </c>
      <c r="E74" s="209" t="s">
        <v>69</v>
      </c>
      <c r="F74" s="209" t="s">
        <v>70</v>
      </c>
      <c r="G74" s="209" t="s">
        <v>10</v>
      </c>
    </row>
    <row r="75" spans="1:7" ht="13.5" customHeight="1" x14ac:dyDescent="0.2">
      <c r="A75" s="210">
        <v>40462</v>
      </c>
      <c r="B75" s="209" t="s">
        <v>53</v>
      </c>
      <c r="C75" s="209" t="s">
        <v>43</v>
      </c>
      <c r="D75" s="211">
        <v>326596</v>
      </c>
      <c r="E75" s="209" t="s">
        <v>69</v>
      </c>
      <c r="F75" s="209" t="s">
        <v>70</v>
      </c>
      <c r="G75" s="209" t="s">
        <v>53</v>
      </c>
    </row>
    <row r="76" spans="1:7" ht="13.5" customHeight="1" x14ac:dyDescent="0.2">
      <c r="A76" s="210">
        <v>40463</v>
      </c>
      <c r="B76" s="209" t="s">
        <v>27</v>
      </c>
      <c r="C76" s="209" t="s">
        <v>71</v>
      </c>
      <c r="D76" s="211">
        <v>5000</v>
      </c>
      <c r="F76" s="209" t="s">
        <v>72</v>
      </c>
      <c r="G76" s="209" t="s">
        <v>29</v>
      </c>
    </row>
    <row r="77" spans="1:7" ht="13.5" customHeight="1" x14ac:dyDescent="0.2">
      <c r="A77" s="210">
        <v>40470</v>
      </c>
      <c r="B77" s="209" t="s">
        <v>73</v>
      </c>
      <c r="C77" s="209" t="s">
        <v>74</v>
      </c>
      <c r="D77" s="211">
        <v>285615</v>
      </c>
      <c r="E77" s="209" t="s">
        <v>125</v>
      </c>
      <c r="F77" s="209" t="s">
        <v>290</v>
      </c>
      <c r="G77" s="209" t="s">
        <v>75</v>
      </c>
    </row>
    <row r="78" spans="1:7" ht="13.5" customHeight="1" x14ac:dyDescent="0.2">
      <c r="A78" s="210">
        <v>40473</v>
      </c>
      <c r="B78" s="209" t="s">
        <v>31</v>
      </c>
      <c r="C78" s="209" t="s">
        <v>65</v>
      </c>
      <c r="D78" s="211">
        <v>507354</v>
      </c>
      <c r="F78" s="209" t="s">
        <v>76</v>
      </c>
      <c r="G78" s="209" t="s">
        <v>21</v>
      </c>
    </row>
    <row r="79" spans="1:7" ht="13.5" customHeight="1" x14ac:dyDescent="0.2">
      <c r="A79" s="210">
        <v>40501</v>
      </c>
      <c r="B79" s="209" t="s">
        <v>27</v>
      </c>
      <c r="C79" s="209" t="s">
        <v>48</v>
      </c>
      <c r="D79" s="211">
        <v>6831</v>
      </c>
    </row>
    <row r="80" spans="1:7" ht="13.5" customHeight="1" x14ac:dyDescent="0.2">
      <c r="A80" s="210">
        <v>40532</v>
      </c>
      <c r="B80" s="209" t="s">
        <v>9</v>
      </c>
      <c r="C80" s="209" t="s">
        <v>43</v>
      </c>
      <c r="D80" s="211">
        <v>100000</v>
      </c>
      <c r="F80" s="209" t="s">
        <v>9</v>
      </c>
      <c r="G80" s="209" t="s">
        <v>10</v>
      </c>
    </row>
    <row r="81" spans="1:7" ht="13.5" customHeight="1" x14ac:dyDescent="0.2">
      <c r="A81" s="210">
        <v>40532</v>
      </c>
      <c r="B81" s="209" t="s">
        <v>77</v>
      </c>
      <c r="C81" s="209" t="s">
        <v>43</v>
      </c>
      <c r="D81" s="211">
        <v>95630</v>
      </c>
    </row>
    <row r="82" spans="1:7" ht="13.5" customHeight="1" x14ac:dyDescent="0.2">
      <c r="A82" s="210">
        <v>40532</v>
      </c>
      <c r="B82" s="209" t="s">
        <v>9</v>
      </c>
      <c r="C82" s="209" t="s">
        <v>43</v>
      </c>
      <c r="D82" s="211">
        <v>100000</v>
      </c>
      <c r="F82" s="209" t="s">
        <v>9</v>
      </c>
      <c r="G82" s="209" t="s">
        <v>10</v>
      </c>
    </row>
    <row r="83" spans="1:7" ht="13.5" customHeight="1" x14ac:dyDescent="0.2">
      <c r="A83" s="210">
        <v>40532</v>
      </c>
      <c r="B83" s="209" t="s">
        <v>27</v>
      </c>
      <c r="C83" s="209" t="s">
        <v>43</v>
      </c>
      <c r="D83" s="211">
        <v>152580</v>
      </c>
    </row>
    <row r="84" spans="1:7" ht="13.5" customHeight="1" x14ac:dyDescent="0.2">
      <c r="A84" s="210">
        <v>40532</v>
      </c>
      <c r="B84" s="209" t="s">
        <v>53</v>
      </c>
      <c r="C84" s="209" t="s">
        <v>43</v>
      </c>
      <c r="D84" s="211">
        <v>3185</v>
      </c>
      <c r="G84" s="209" t="s">
        <v>53</v>
      </c>
    </row>
    <row r="85" spans="1:7" ht="13.5" customHeight="1" x14ac:dyDescent="0.2">
      <c r="A85" s="210">
        <v>40532</v>
      </c>
      <c r="B85" s="209" t="s">
        <v>27</v>
      </c>
      <c r="C85" s="209" t="s">
        <v>43</v>
      </c>
      <c r="D85" s="211">
        <v>1431</v>
      </c>
      <c r="E85" s="209" t="s">
        <v>69</v>
      </c>
      <c r="F85" s="209" t="s">
        <v>70</v>
      </c>
      <c r="G85" s="209" t="s">
        <v>16</v>
      </c>
    </row>
    <row r="86" spans="1:7" ht="13.5" customHeight="1" x14ac:dyDescent="0.2">
      <c r="A86" s="210">
        <v>40532</v>
      </c>
      <c r="B86" s="209" t="s">
        <v>77</v>
      </c>
      <c r="C86" s="209" t="s">
        <v>43</v>
      </c>
      <c r="D86" s="211">
        <v>894</v>
      </c>
      <c r="E86" s="209" t="s">
        <v>69</v>
      </c>
      <c r="F86" s="209" t="s">
        <v>70</v>
      </c>
    </row>
    <row r="87" spans="1:7" ht="13.5" customHeight="1" x14ac:dyDescent="0.2">
      <c r="A87" s="210">
        <v>40532</v>
      </c>
      <c r="B87" s="209" t="s">
        <v>53</v>
      </c>
      <c r="C87" s="209" t="s">
        <v>43</v>
      </c>
      <c r="D87" s="211">
        <v>36657</v>
      </c>
      <c r="E87" s="209" t="s">
        <v>69</v>
      </c>
      <c r="F87" s="209" t="s">
        <v>70</v>
      </c>
      <c r="G87" s="209" t="s">
        <v>53</v>
      </c>
    </row>
    <row r="88" spans="1:7" ht="13.5" customHeight="1" x14ac:dyDescent="0.2">
      <c r="A88" s="210">
        <v>40532</v>
      </c>
      <c r="B88" s="209" t="s">
        <v>53</v>
      </c>
      <c r="C88" s="209" t="s">
        <v>43</v>
      </c>
      <c r="D88" s="211">
        <v>21094</v>
      </c>
      <c r="E88" s="209" t="s">
        <v>69</v>
      </c>
      <c r="F88" s="209" t="s">
        <v>70</v>
      </c>
      <c r="G88" s="209" t="s">
        <v>53</v>
      </c>
    </row>
    <row r="89" spans="1:7" ht="13.5" customHeight="1" x14ac:dyDescent="0.2">
      <c r="A89" s="210">
        <v>40532</v>
      </c>
      <c r="D89" s="211">
        <v>33500</v>
      </c>
      <c r="E89" s="209" t="s">
        <v>69</v>
      </c>
      <c r="F89" s="209" t="s">
        <v>70</v>
      </c>
      <c r="G89" s="209" t="s">
        <v>16</v>
      </c>
    </row>
    <row r="90" spans="1:7" ht="13.5" customHeight="1" x14ac:dyDescent="0.2">
      <c r="A90" s="210">
        <v>40602</v>
      </c>
      <c r="B90" s="209" t="s">
        <v>53</v>
      </c>
      <c r="C90" s="209" t="s">
        <v>43</v>
      </c>
      <c r="D90" s="211">
        <v>-36657</v>
      </c>
      <c r="E90" s="209" t="s">
        <v>69</v>
      </c>
      <c r="F90" s="209" t="s">
        <v>70</v>
      </c>
      <c r="G90" s="209" t="s">
        <v>53</v>
      </c>
    </row>
    <row r="91" spans="1:7" ht="13.5" customHeight="1" x14ac:dyDescent="0.2">
      <c r="A91" s="210">
        <v>40611</v>
      </c>
      <c r="D91" s="211">
        <v>36316</v>
      </c>
      <c r="F91" s="209" t="s">
        <v>78</v>
      </c>
      <c r="G91" s="209" t="s">
        <v>52</v>
      </c>
    </row>
    <row r="92" spans="1:7" ht="13.5" customHeight="1" x14ac:dyDescent="0.2">
      <c r="A92" s="210">
        <v>40619</v>
      </c>
      <c r="B92" s="209" t="s">
        <v>53</v>
      </c>
      <c r="C92" s="209" t="s">
        <v>68</v>
      </c>
      <c r="D92" s="211">
        <v>181146</v>
      </c>
      <c r="G92" s="209" t="s">
        <v>53</v>
      </c>
    </row>
    <row r="93" spans="1:7" ht="13.5" customHeight="1" x14ac:dyDescent="0.2">
      <c r="A93" s="210">
        <v>40624</v>
      </c>
      <c r="B93" s="209" t="s">
        <v>27</v>
      </c>
      <c r="C93" s="209" t="s">
        <v>79</v>
      </c>
      <c r="D93" s="211">
        <v>24925</v>
      </c>
      <c r="F93" s="209" t="s">
        <v>80</v>
      </c>
      <c r="G93" s="209" t="s">
        <v>29</v>
      </c>
    </row>
    <row r="94" spans="1:7" ht="13.5" customHeight="1" x14ac:dyDescent="0.2">
      <c r="A94" s="210">
        <v>40633</v>
      </c>
      <c r="B94" s="209" t="s">
        <v>9</v>
      </c>
      <c r="C94" s="209" t="s">
        <v>81</v>
      </c>
      <c r="D94" s="211">
        <v>19000</v>
      </c>
      <c r="E94" s="209" t="s">
        <v>82</v>
      </c>
      <c r="F94" s="209" t="s">
        <v>83</v>
      </c>
      <c r="G94" s="209" t="s">
        <v>10</v>
      </c>
    </row>
    <row r="95" spans="1:7" ht="13.5" customHeight="1" x14ac:dyDescent="0.2">
      <c r="A95" s="210">
        <v>40634</v>
      </c>
      <c r="B95" s="209" t="s">
        <v>9</v>
      </c>
      <c r="C95" s="209" t="s">
        <v>81</v>
      </c>
      <c r="D95" s="211">
        <v>746</v>
      </c>
      <c r="F95" s="209" t="s">
        <v>83</v>
      </c>
      <c r="G95" s="209" t="s">
        <v>10</v>
      </c>
    </row>
    <row r="96" spans="1:7" ht="13.5" customHeight="1" x14ac:dyDescent="0.2">
      <c r="A96" s="210">
        <v>40640</v>
      </c>
      <c r="B96" s="209" t="s">
        <v>27</v>
      </c>
      <c r="C96" s="209" t="s">
        <v>71</v>
      </c>
      <c r="D96" s="211">
        <v>6480</v>
      </c>
      <c r="F96" s="209" t="s">
        <v>72</v>
      </c>
      <c r="G96" s="209" t="s">
        <v>29</v>
      </c>
    </row>
    <row r="97" spans="1:7" ht="13.5" customHeight="1" x14ac:dyDescent="0.2">
      <c r="A97" s="210">
        <v>40660</v>
      </c>
      <c r="B97" s="209" t="s">
        <v>31</v>
      </c>
      <c r="C97" s="209" t="s">
        <v>37</v>
      </c>
      <c r="D97" s="211">
        <v>13862</v>
      </c>
      <c r="F97" s="209" t="s">
        <v>84</v>
      </c>
      <c r="G97" s="209" t="s">
        <v>6</v>
      </c>
    </row>
    <row r="98" spans="1:7" ht="13.5" customHeight="1" x14ac:dyDescent="0.2">
      <c r="A98" s="210">
        <v>40673</v>
      </c>
      <c r="B98" s="209" t="s">
        <v>27</v>
      </c>
      <c r="C98" s="209" t="s">
        <v>71</v>
      </c>
      <c r="D98" s="211">
        <v>6480</v>
      </c>
      <c r="F98" s="209" t="s">
        <v>72</v>
      </c>
      <c r="G98" s="209" t="s">
        <v>29</v>
      </c>
    </row>
    <row r="99" spans="1:7" ht="13.5" customHeight="1" x14ac:dyDescent="0.2">
      <c r="A99" s="210">
        <v>40700</v>
      </c>
      <c r="B99" s="209" t="s">
        <v>53</v>
      </c>
      <c r="C99" s="209" t="s">
        <v>48</v>
      </c>
      <c r="D99" s="211">
        <v>68331</v>
      </c>
      <c r="E99" s="209" t="s">
        <v>85</v>
      </c>
      <c r="G99" s="209" t="s">
        <v>53</v>
      </c>
    </row>
    <row r="100" spans="1:7" ht="13.5" customHeight="1" x14ac:dyDescent="0.2">
      <c r="A100" s="210">
        <v>40707</v>
      </c>
      <c r="B100" s="209" t="s">
        <v>53</v>
      </c>
      <c r="C100" s="209" t="s">
        <v>68</v>
      </c>
      <c r="D100" s="211">
        <v>8791</v>
      </c>
      <c r="G100" s="209" t="s">
        <v>53</v>
      </c>
    </row>
    <row r="101" spans="1:7" ht="13.5" customHeight="1" x14ac:dyDescent="0.2">
      <c r="A101" s="210">
        <v>40744</v>
      </c>
      <c r="B101" s="209" t="s">
        <v>31</v>
      </c>
      <c r="C101" s="209" t="s">
        <v>86</v>
      </c>
      <c r="D101" s="211">
        <v>77649</v>
      </c>
      <c r="F101" s="209" t="s">
        <v>87</v>
      </c>
      <c r="G101" s="209" t="s">
        <v>6</v>
      </c>
    </row>
    <row r="102" spans="1:7" ht="13.5" customHeight="1" x14ac:dyDescent="0.2">
      <c r="A102" s="210">
        <v>40771</v>
      </c>
      <c r="B102" s="209" t="s">
        <v>53</v>
      </c>
      <c r="C102" s="209" t="s">
        <v>66</v>
      </c>
      <c r="D102" s="211">
        <v>371405</v>
      </c>
      <c r="G102" s="209" t="s">
        <v>53</v>
      </c>
    </row>
    <row r="103" spans="1:7" ht="13.5" customHeight="1" x14ac:dyDescent="0.2">
      <c r="A103" s="210">
        <v>40771</v>
      </c>
      <c r="B103" s="209" t="s">
        <v>31</v>
      </c>
      <c r="C103" s="209" t="s">
        <v>66</v>
      </c>
      <c r="D103" s="211">
        <v>103789</v>
      </c>
      <c r="F103" s="209" t="s">
        <v>67</v>
      </c>
      <c r="G103" s="209" t="s">
        <v>21</v>
      </c>
    </row>
    <row r="104" spans="1:7" ht="13.5" customHeight="1" x14ac:dyDescent="0.2">
      <c r="A104" s="210">
        <v>40778</v>
      </c>
      <c r="B104" s="209" t="s">
        <v>9</v>
      </c>
      <c r="C104" s="209" t="s">
        <v>81</v>
      </c>
      <c r="D104" s="211">
        <v>178524</v>
      </c>
      <c r="E104" s="209" t="s">
        <v>17</v>
      </c>
      <c r="F104" s="209" t="s">
        <v>83</v>
      </c>
      <c r="G104" s="209" t="s">
        <v>10</v>
      </c>
    </row>
    <row r="105" spans="1:7" ht="13.5" customHeight="1" x14ac:dyDescent="0.2">
      <c r="A105" s="210">
        <v>40778</v>
      </c>
      <c r="B105" s="209" t="s">
        <v>9</v>
      </c>
      <c r="C105" s="209" t="s">
        <v>81</v>
      </c>
      <c r="D105" s="211">
        <v>105636</v>
      </c>
      <c r="E105" s="209" t="s">
        <v>17</v>
      </c>
      <c r="F105" s="209" t="s">
        <v>83</v>
      </c>
      <c r="G105" s="209" t="s">
        <v>10</v>
      </c>
    </row>
    <row r="106" spans="1:7" ht="13.5" customHeight="1" x14ac:dyDescent="0.2">
      <c r="A106" s="210">
        <v>40778</v>
      </c>
      <c r="B106" s="209" t="s">
        <v>9</v>
      </c>
      <c r="C106" s="209" t="s">
        <v>81</v>
      </c>
      <c r="D106" s="211">
        <v>21127</v>
      </c>
      <c r="E106" s="209" t="s">
        <v>17</v>
      </c>
      <c r="F106" s="209" t="s">
        <v>264</v>
      </c>
      <c r="G106" s="209" t="s">
        <v>88</v>
      </c>
    </row>
    <row r="107" spans="1:7" ht="13.5" customHeight="1" x14ac:dyDescent="0.2">
      <c r="A107" s="210">
        <v>40778</v>
      </c>
      <c r="B107" s="209" t="s">
        <v>9</v>
      </c>
      <c r="C107" s="209" t="s">
        <v>81</v>
      </c>
      <c r="D107" s="211">
        <v>20071</v>
      </c>
      <c r="E107" s="209" t="s">
        <v>17</v>
      </c>
      <c r="F107" s="209" t="s">
        <v>263</v>
      </c>
      <c r="G107" s="209" t="s">
        <v>10</v>
      </c>
    </row>
    <row r="108" spans="1:7" ht="13.5" customHeight="1" x14ac:dyDescent="0.2">
      <c r="A108" s="210">
        <v>40854</v>
      </c>
      <c r="B108" s="209" t="s">
        <v>27</v>
      </c>
      <c r="C108" s="209" t="s">
        <v>89</v>
      </c>
      <c r="D108" s="211">
        <v>22500</v>
      </c>
      <c r="E108" s="209" t="s">
        <v>90</v>
      </c>
      <c r="F108" s="209" t="s">
        <v>91</v>
      </c>
      <c r="G108" s="209" t="s">
        <v>52</v>
      </c>
    </row>
    <row r="109" spans="1:7" ht="13.5" customHeight="1" x14ac:dyDescent="0.2">
      <c r="A109" s="210">
        <v>41004</v>
      </c>
      <c r="B109" s="209" t="s">
        <v>27</v>
      </c>
      <c r="C109" s="209" t="s">
        <v>92</v>
      </c>
      <c r="D109" s="211">
        <v>15000</v>
      </c>
      <c r="E109" s="209" t="s">
        <v>93</v>
      </c>
      <c r="F109" s="209" t="s">
        <v>94</v>
      </c>
      <c r="G109" s="209" t="s">
        <v>61</v>
      </c>
    </row>
    <row r="110" spans="1:7" ht="13.5" customHeight="1" x14ac:dyDescent="0.2">
      <c r="A110" s="210">
        <v>41186</v>
      </c>
      <c r="B110" s="209" t="s">
        <v>53</v>
      </c>
      <c r="C110" s="209" t="s">
        <v>68</v>
      </c>
      <c r="D110" s="211">
        <v>75000</v>
      </c>
      <c r="E110" s="209" t="s">
        <v>95</v>
      </c>
      <c r="F110" s="209" t="s">
        <v>96</v>
      </c>
      <c r="G110" s="209" t="s">
        <v>53</v>
      </c>
    </row>
    <row r="111" spans="1:7" ht="13.5" customHeight="1" x14ac:dyDescent="0.2">
      <c r="A111" s="210">
        <v>41186</v>
      </c>
      <c r="B111" s="209" t="s">
        <v>97</v>
      </c>
      <c r="C111" s="209" t="s">
        <v>68</v>
      </c>
      <c r="D111" s="211">
        <v>75000</v>
      </c>
      <c r="E111" s="209" t="s">
        <v>95</v>
      </c>
      <c r="F111" s="209" t="s">
        <v>96</v>
      </c>
      <c r="G111" s="209" t="s">
        <v>98</v>
      </c>
    </row>
    <row r="112" spans="1:7" ht="13.5" customHeight="1" x14ac:dyDescent="0.2">
      <c r="A112" s="210">
        <v>41186</v>
      </c>
      <c r="B112" s="209" t="s">
        <v>99</v>
      </c>
      <c r="C112" s="209" t="s">
        <v>68</v>
      </c>
      <c r="D112" s="211">
        <v>5000</v>
      </c>
      <c r="E112" s="209" t="s">
        <v>95</v>
      </c>
      <c r="F112" s="209" t="s">
        <v>96</v>
      </c>
      <c r="G112" s="209" t="s">
        <v>99</v>
      </c>
    </row>
    <row r="113" spans="1:7" ht="13.5" customHeight="1" x14ac:dyDescent="0.2">
      <c r="A113" s="210">
        <v>41190</v>
      </c>
      <c r="B113" s="209" t="s">
        <v>9</v>
      </c>
      <c r="C113" s="209" t="s">
        <v>100</v>
      </c>
      <c r="D113" s="211">
        <v>100000</v>
      </c>
      <c r="E113" s="209" t="s">
        <v>69</v>
      </c>
      <c r="F113" s="209" t="s">
        <v>9</v>
      </c>
      <c r="G113" s="209" t="s">
        <v>10</v>
      </c>
    </row>
    <row r="114" spans="1:7" ht="13.5" customHeight="1" x14ac:dyDescent="0.2">
      <c r="A114" s="210">
        <v>41190</v>
      </c>
      <c r="B114" s="209" t="s">
        <v>27</v>
      </c>
      <c r="C114" s="209" t="s">
        <v>100</v>
      </c>
      <c r="D114" s="211">
        <v>163453</v>
      </c>
      <c r="E114" s="209" t="s">
        <v>69</v>
      </c>
      <c r="F114" s="209" t="s">
        <v>70</v>
      </c>
      <c r="G114" s="209" t="s">
        <v>16</v>
      </c>
    </row>
    <row r="115" spans="1:7" ht="13.5" customHeight="1" x14ac:dyDescent="0.2">
      <c r="A115" s="210">
        <v>41190</v>
      </c>
      <c r="B115" s="209" t="s">
        <v>53</v>
      </c>
      <c r="C115" s="209" t="s">
        <v>100</v>
      </c>
      <c r="D115" s="211">
        <v>359596</v>
      </c>
      <c r="E115" s="209" t="s">
        <v>69</v>
      </c>
      <c r="F115" s="209" t="s">
        <v>70</v>
      </c>
      <c r="G115" s="209" t="s">
        <v>53</v>
      </c>
    </row>
    <row r="116" spans="1:7" x14ac:dyDescent="0.2">
      <c r="A116" s="210">
        <v>41190</v>
      </c>
      <c r="B116" s="209" t="s">
        <v>27</v>
      </c>
      <c r="C116" s="209" t="s">
        <v>68</v>
      </c>
      <c r="D116" s="211">
        <v>103750</v>
      </c>
      <c r="E116" s="209" t="s">
        <v>95</v>
      </c>
      <c r="F116" s="209" t="s">
        <v>96</v>
      </c>
      <c r="G116" s="209" t="s">
        <v>52</v>
      </c>
    </row>
    <row r="117" spans="1:7" x14ac:dyDescent="0.2">
      <c r="A117" s="210">
        <v>41190</v>
      </c>
      <c r="B117" s="209" t="s">
        <v>31</v>
      </c>
      <c r="C117" s="209" t="s">
        <v>68</v>
      </c>
      <c r="D117" s="211">
        <v>39000</v>
      </c>
      <c r="E117" s="209" t="s">
        <v>95</v>
      </c>
      <c r="F117" s="209" t="s">
        <v>96</v>
      </c>
      <c r="G117" s="209" t="s">
        <v>6</v>
      </c>
    </row>
    <row r="118" spans="1:7" ht="13.5" customHeight="1" x14ac:dyDescent="0.2">
      <c r="A118" s="210">
        <v>41193</v>
      </c>
      <c r="B118" s="209" t="s">
        <v>53</v>
      </c>
      <c r="C118" s="209" t="s">
        <v>101</v>
      </c>
      <c r="D118" s="211">
        <v>45820</v>
      </c>
      <c r="E118" s="209" t="s">
        <v>102</v>
      </c>
      <c r="F118" s="209" t="s">
        <v>103</v>
      </c>
      <c r="G118" s="209" t="s">
        <v>53</v>
      </c>
    </row>
    <row r="119" spans="1:7" x14ac:dyDescent="0.2">
      <c r="A119" s="210">
        <v>41193</v>
      </c>
      <c r="B119" s="209" t="s">
        <v>31</v>
      </c>
      <c r="C119" s="209" t="s">
        <v>101</v>
      </c>
      <c r="D119" s="211">
        <v>8160</v>
      </c>
      <c r="E119" s="209" t="s">
        <v>102</v>
      </c>
      <c r="F119" s="209" t="s">
        <v>103</v>
      </c>
      <c r="G119" s="209" t="s">
        <v>21</v>
      </c>
    </row>
    <row r="120" spans="1:7" x14ac:dyDescent="0.2">
      <c r="A120" s="210">
        <v>41193</v>
      </c>
      <c r="B120" s="209" t="s">
        <v>27</v>
      </c>
      <c r="C120" s="209" t="s">
        <v>101</v>
      </c>
      <c r="D120" s="211">
        <v>50000</v>
      </c>
      <c r="E120" s="209" t="s">
        <v>102</v>
      </c>
      <c r="F120" s="209" t="s">
        <v>103</v>
      </c>
      <c r="G120" s="209" t="s">
        <v>29</v>
      </c>
    </row>
    <row r="121" spans="1:7" x14ac:dyDescent="0.2">
      <c r="A121" s="210">
        <v>41354</v>
      </c>
      <c r="B121" s="209" t="s">
        <v>27</v>
      </c>
      <c r="C121" s="209" t="s">
        <v>104</v>
      </c>
      <c r="D121" s="211">
        <v>7232</v>
      </c>
      <c r="E121" s="209" t="s">
        <v>105</v>
      </c>
      <c r="F121" s="209" t="s">
        <v>106</v>
      </c>
      <c r="G121" s="209" t="s">
        <v>52</v>
      </c>
    </row>
    <row r="122" spans="1:7" x14ac:dyDescent="0.2">
      <c r="A122" s="210">
        <v>41409</v>
      </c>
      <c r="B122" s="209" t="s">
        <v>53</v>
      </c>
      <c r="C122" s="209" t="s">
        <v>107</v>
      </c>
      <c r="D122" s="211">
        <v>759000</v>
      </c>
      <c r="E122" s="209" t="s">
        <v>108</v>
      </c>
      <c r="F122" s="209" t="s">
        <v>109</v>
      </c>
      <c r="G122" s="209" t="s">
        <v>53</v>
      </c>
    </row>
    <row r="123" spans="1:7" x14ac:dyDescent="0.2">
      <c r="A123" s="210">
        <v>41411</v>
      </c>
      <c r="B123" s="209" t="s">
        <v>53</v>
      </c>
      <c r="C123" s="209" t="s">
        <v>110</v>
      </c>
      <c r="D123" s="211">
        <v>241000</v>
      </c>
      <c r="E123" s="209" t="s">
        <v>108</v>
      </c>
      <c r="F123" s="209" t="s">
        <v>109</v>
      </c>
      <c r="G123" s="209" t="s">
        <v>53</v>
      </c>
    </row>
    <row r="124" spans="1:7" x14ac:dyDescent="0.2">
      <c r="A124" s="210">
        <v>41460</v>
      </c>
      <c r="B124" s="209" t="s">
        <v>111</v>
      </c>
      <c r="C124" s="209" t="s">
        <v>112</v>
      </c>
      <c r="D124" s="211">
        <v>200000</v>
      </c>
      <c r="E124" s="209" t="s">
        <v>113</v>
      </c>
      <c r="F124" s="209" t="s">
        <v>114</v>
      </c>
      <c r="G124" s="209" t="s">
        <v>114</v>
      </c>
    </row>
    <row r="125" spans="1:7" x14ac:dyDescent="0.2">
      <c r="A125" s="210">
        <v>41554</v>
      </c>
      <c r="B125" s="209" t="s">
        <v>27</v>
      </c>
      <c r="C125" s="209" t="s">
        <v>115</v>
      </c>
      <c r="D125" s="211">
        <v>17500</v>
      </c>
      <c r="E125" s="209" t="s">
        <v>116</v>
      </c>
      <c r="F125" s="209" t="s">
        <v>117</v>
      </c>
      <c r="G125" s="209" t="s">
        <v>52</v>
      </c>
    </row>
    <row r="126" spans="1:7" x14ac:dyDescent="0.2">
      <c r="A126" s="210">
        <v>41563</v>
      </c>
      <c r="B126" s="209" t="s">
        <v>53</v>
      </c>
      <c r="C126" s="209" t="s">
        <v>100</v>
      </c>
      <c r="D126" s="211">
        <v>388144.23</v>
      </c>
      <c r="E126" s="209" t="s">
        <v>118</v>
      </c>
      <c r="F126" s="209" t="s">
        <v>119</v>
      </c>
      <c r="G126" s="209" t="s">
        <v>53</v>
      </c>
    </row>
    <row r="127" spans="1:7" x14ac:dyDescent="0.2">
      <c r="A127" s="210">
        <v>41597</v>
      </c>
      <c r="B127" s="209" t="s">
        <v>53</v>
      </c>
      <c r="C127" s="209" t="s">
        <v>107</v>
      </c>
      <c r="D127" s="211">
        <v>956952</v>
      </c>
      <c r="E127" s="209" t="s">
        <v>108</v>
      </c>
      <c r="F127" s="209" t="s">
        <v>109</v>
      </c>
      <c r="G127" s="209" t="s">
        <v>53</v>
      </c>
    </row>
    <row r="128" spans="1:7" x14ac:dyDescent="0.2">
      <c r="A128" s="210">
        <v>41653</v>
      </c>
      <c r="B128" s="209" t="s">
        <v>111</v>
      </c>
      <c r="C128" s="209" t="s">
        <v>112</v>
      </c>
      <c r="D128" s="211">
        <v>200000</v>
      </c>
      <c r="E128" s="209" t="s">
        <v>113</v>
      </c>
      <c r="F128" s="209" t="s">
        <v>114</v>
      </c>
      <c r="G128" s="209" t="s">
        <v>114</v>
      </c>
    </row>
    <row r="129" spans="1:7" x14ac:dyDescent="0.2">
      <c r="A129" s="210">
        <v>41656</v>
      </c>
      <c r="B129" s="209" t="s">
        <v>27</v>
      </c>
      <c r="C129" s="209" t="s">
        <v>120</v>
      </c>
      <c r="D129" s="211">
        <v>75000</v>
      </c>
      <c r="E129" s="209" t="s">
        <v>121</v>
      </c>
      <c r="F129" s="209" t="s">
        <v>122</v>
      </c>
      <c r="G129" s="209" t="s">
        <v>61</v>
      </c>
    </row>
    <row r="130" spans="1:7" x14ac:dyDescent="0.2">
      <c r="A130" s="210">
        <v>41656</v>
      </c>
      <c r="B130" s="209" t="s">
        <v>31</v>
      </c>
      <c r="C130" s="209" t="s">
        <v>120</v>
      </c>
      <c r="D130" s="211">
        <v>12624</v>
      </c>
      <c r="E130" s="209" t="s">
        <v>121</v>
      </c>
      <c r="F130" s="209" t="s">
        <v>123</v>
      </c>
      <c r="G130" s="209" t="s">
        <v>12</v>
      </c>
    </row>
    <row r="131" spans="1:7" x14ac:dyDescent="0.2">
      <c r="A131" s="210">
        <v>41680</v>
      </c>
      <c r="B131" s="209" t="s">
        <v>126</v>
      </c>
      <c r="C131" s="209" t="s">
        <v>74</v>
      </c>
      <c r="D131" s="211">
        <v>168759</v>
      </c>
      <c r="E131" s="209" t="s">
        <v>125</v>
      </c>
      <c r="F131" s="209" t="s">
        <v>319</v>
      </c>
      <c r="G131" s="209" t="s">
        <v>75</v>
      </c>
    </row>
    <row r="132" spans="1:7" x14ac:dyDescent="0.2">
      <c r="A132" s="210">
        <v>41680</v>
      </c>
      <c r="B132" s="209" t="s">
        <v>124</v>
      </c>
      <c r="C132" s="209" t="s">
        <v>74</v>
      </c>
      <c r="D132" s="211">
        <v>324537</v>
      </c>
      <c r="E132" s="209" t="s">
        <v>125</v>
      </c>
      <c r="F132" s="209" t="s">
        <v>320</v>
      </c>
      <c r="G132" s="209" t="s">
        <v>75</v>
      </c>
    </row>
    <row r="133" spans="1:7" ht="18" customHeight="1" x14ac:dyDescent="0.2">
      <c r="A133" s="210">
        <v>41746</v>
      </c>
      <c r="B133" s="209" t="s">
        <v>27</v>
      </c>
      <c r="C133" s="209" t="s">
        <v>127</v>
      </c>
      <c r="D133" s="211">
        <v>110114</v>
      </c>
      <c r="E133" s="209" t="s">
        <v>95</v>
      </c>
      <c r="F133" s="209" t="s">
        <v>96</v>
      </c>
      <c r="G133" s="209" t="s">
        <v>52</v>
      </c>
    </row>
    <row r="134" spans="1:7" x14ac:dyDescent="0.2">
      <c r="A134" s="210">
        <v>41752</v>
      </c>
      <c r="B134" s="209" t="s">
        <v>27</v>
      </c>
      <c r="C134" s="209" t="s">
        <v>48</v>
      </c>
      <c r="D134" s="211">
        <v>148600</v>
      </c>
      <c r="E134" s="209" t="s">
        <v>128</v>
      </c>
      <c r="F134" s="209" t="s">
        <v>129</v>
      </c>
      <c r="G134" s="209" t="s">
        <v>16</v>
      </c>
    </row>
    <row r="135" spans="1:7" x14ac:dyDescent="0.2">
      <c r="A135" s="210">
        <v>41752</v>
      </c>
      <c r="B135" s="209" t="s">
        <v>124</v>
      </c>
      <c r="C135" s="209" t="s">
        <v>48</v>
      </c>
      <c r="D135" s="211">
        <v>236681</v>
      </c>
      <c r="E135" s="209" t="s">
        <v>130</v>
      </c>
      <c r="F135" s="209" t="s">
        <v>9</v>
      </c>
      <c r="G135" s="209" t="s">
        <v>10</v>
      </c>
    </row>
    <row r="136" spans="1:7" x14ac:dyDescent="0.2">
      <c r="A136" s="210">
        <v>41759</v>
      </c>
      <c r="B136" s="209" t="s">
        <v>27</v>
      </c>
      <c r="C136" s="209" t="s">
        <v>131</v>
      </c>
      <c r="D136" s="211">
        <v>3000</v>
      </c>
      <c r="E136" s="209" t="s">
        <v>132</v>
      </c>
      <c r="F136" s="209" t="s">
        <v>133</v>
      </c>
      <c r="G136" s="209" t="s">
        <v>29</v>
      </c>
    </row>
    <row r="137" spans="1:7" x14ac:dyDescent="0.2">
      <c r="A137" s="210">
        <v>41796</v>
      </c>
      <c r="B137" s="209" t="s">
        <v>27</v>
      </c>
      <c r="C137" s="209" t="s">
        <v>131</v>
      </c>
      <c r="D137" s="211">
        <v>3000</v>
      </c>
      <c r="E137" s="209" t="s">
        <v>132</v>
      </c>
      <c r="F137" s="209" t="s">
        <v>133</v>
      </c>
      <c r="G137" s="209" t="s">
        <v>29</v>
      </c>
    </row>
    <row r="138" spans="1:7" x14ac:dyDescent="0.2">
      <c r="A138" s="210">
        <v>41821</v>
      </c>
      <c r="B138" s="209" t="s">
        <v>27</v>
      </c>
      <c r="C138" s="209" t="s">
        <v>74</v>
      </c>
      <c r="D138" s="211">
        <v>92500</v>
      </c>
      <c r="E138" s="209" t="s">
        <v>134</v>
      </c>
      <c r="F138" s="209" t="s">
        <v>135</v>
      </c>
      <c r="G138" s="209" t="s">
        <v>16</v>
      </c>
    </row>
    <row r="139" spans="1:7" x14ac:dyDescent="0.2">
      <c r="A139" s="210">
        <v>41821</v>
      </c>
      <c r="B139" s="209" t="s">
        <v>31</v>
      </c>
      <c r="C139" s="209" t="s">
        <v>74</v>
      </c>
      <c r="D139" s="211">
        <v>7000</v>
      </c>
      <c r="E139" s="209" t="s">
        <v>134</v>
      </c>
      <c r="F139" s="209" t="s">
        <v>136</v>
      </c>
      <c r="G139" s="209" t="s">
        <v>8</v>
      </c>
    </row>
    <row r="140" spans="1:7" x14ac:dyDescent="0.2">
      <c r="A140" s="210">
        <v>41821</v>
      </c>
      <c r="B140" s="209" t="s">
        <v>31</v>
      </c>
      <c r="C140" s="209" t="s">
        <v>74</v>
      </c>
      <c r="D140" s="211">
        <v>25500</v>
      </c>
      <c r="E140" s="209" t="s">
        <v>134</v>
      </c>
      <c r="F140" s="209" t="s">
        <v>136</v>
      </c>
      <c r="G140" s="209" t="s">
        <v>8</v>
      </c>
    </row>
    <row r="141" spans="1:7" x14ac:dyDescent="0.2">
      <c r="A141" s="210">
        <v>41821</v>
      </c>
      <c r="B141" s="209" t="s">
        <v>111</v>
      </c>
      <c r="C141" s="209" t="s">
        <v>74</v>
      </c>
      <c r="D141" s="211">
        <v>125000</v>
      </c>
      <c r="E141" s="209" t="s">
        <v>134</v>
      </c>
      <c r="F141" s="209" t="s">
        <v>135</v>
      </c>
      <c r="G141" s="209" t="s">
        <v>114</v>
      </c>
    </row>
    <row r="142" spans="1:7" x14ac:dyDescent="0.2">
      <c r="A142" s="210">
        <v>41822</v>
      </c>
      <c r="B142" s="209" t="s">
        <v>27</v>
      </c>
      <c r="C142" s="209" t="s">
        <v>131</v>
      </c>
      <c r="D142" s="211">
        <v>3000</v>
      </c>
      <c r="E142" s="209" t="s">
        <v>132</v>
      </c>
      <c r="F142" s="209" t="s">
        <v>133</v>
      </c>
      <c r="G142" s="209" t="s">
        <v>29</v>
      </c>
    </row>
    <row r="143" spans="1:7" x14ac:dyDescent="0.2">
      <c r="A143" s="210">
        <v>41856</v>
      </c>
      <c r="B143" s="209" t="s">
        <v>124</v>
      </c>
      <c r="C143" s="209" t="s">
        <v>100</v>
      </c>
      <c r="D143" s="211">
        <v>100000</v>
      </c>
      <c r="E143" s="209" t="s">
        <v>69</v>
      </c>
      <c r="F143" s="209" t="s">
        <v>9</v>
      </c>
      <c r="G143" s="209" t="s">
        <v>10</v>
      </c>
    </row>
    <row r="144" spans="1:7" x14ac:dyDescent="0.2">
      <c r="A144" s="210">
        <v>41862</v>
      </c>
      <c r="B144" s="209" t="s">
        <v>27</v>
      </c>
      <c r="C144" s="209" t="s">
        <v>137</v>
      </c>
      <c r="D144" s="211">
        <v>250</v>
      </c>
      <c r="E144" s="209" t="s">
        <v>138</v>
      </c>
      <c r="F144" s="209" t="s">
        <v>139</v>
      </c>
      <c r="G144" s="209" t="s">
        <v>52</v>
      </c>
    </row>
    <row r="145" spans="1:7" x14ac:dyDescent="0.2">
      <c r="A145" s="210">
        <v>41862</v>
      </c>
      <c r="B145" s="209" t="s">
        <v>27</v>
      </c>
      <c r="C145" s="209" t="s">
        <v>137</v>
      </c>
      <c r="D145" s="211">
        <v>250</v>
      </c>
      <c r="E145" s="209" t="s">
        <v>138</v>
      </c>
      <c r="F145" s="209" t="s">
        <v>139</v>
      </c>
      <c r="G145" s="209" t="s">
        <v>52</v>
      </c>
    </row>
    <row r="146" spans="1:7" x14ac:dyDescent="0.2">
      <c r="A146" s="210">
        <v>41871</v>
      </c>
      <c r="B146" s="209" t="s">
        <v>111</v>
      </c>
      <c r="C146" s="209" t="s">
        <v>74</v>
      </c>
      <c r="D146" s="211">
        <v>8336.81</v>
      </c>
      <c r="E146" s="209" t="s">
        <v>134</v>
      </c>
      <c r="F146" s="209" t="s">
        <v>135</v>
      </c>
      <c r="G146" s="209" t="s">
        <v>114</v>
      </c>
    </row>
    <row r="147" spans="1:7" x14ac:dyDescent="0.2">
      <c r="A147" s="210">
        <v>41871</v>
      </c>
      <c r="B147" s="209" t="s">
        <v>27</v>
      </c>
      <c r="C147" s="209" t="s">
        <v>74</v>
      </c>
      <c r="D147" s="211">
        <v>6169</v>
      </c>
      <c r="E147" s="209" t="s">
        <v>134</v>
      </c>
      <c r="F147" s="209" t="s">
        <v>135</v>
      </c>
      <c r="G147" s="209" t="s">
        <v>16</v>
      </c>
    </row>
    <row r="148" spans="1:7" x14ac:dyDescent="0.2">
      <c r="A148" s="210">
        <v>41871</v>
      </c>
      <c r="B148" s="209" t="s">
        <v>31</v>
      </c>
      <c r="C148" s="209" t="s">
        <v>74</v>
      </c>
      <c r="D148" s="211">
        <v>467</v>
      </c>
      <c r="E148" s="209" t="s">
        <v>134</v>
      </c>
      <c r="F148" s="209" t="s">
        <v>136</v>
      </c>
      <c r="G148" s="209" t="s">
        <v>8</v>
      </c>
    </row>
    <row r="149" spans="1:7" x14ac:dyDescent="0.2">
      <c r="A149" s="210">
        <v>41871</v>
      </c>
      <c r="B149" s="209" t="s">
        <v>31</v>
      </c>
      <c r="C149" s="209" t="s">
        <v>74</v>
      </c>
      <c r="D149" s="211">
        <v>1667</v>
      </c>
      <c r="E149" s="209" t="s">
        <v>134</v>
      </c>
      <c r="F149" s="209" t="s">
        <v>136</v>
      </c>
      <c r="G149" s="209" t="s">
        <v>8</v>
      </c>
    </row>
    <row r="150" spans="1:7" x14ac:dyDescent="0.2">
      <c r="A150" s="210">
        <v>41884</v>
      </c>
      <c r="B150" s="209" t="s">
        <v>27</v>
      </c>
      <c r="C150" s="209" t="s">
        <v>140</v>
      </c>
      <c r="D150" s="211">
        <v>7500</v>
      </c>
      <c r="E150" s="209" t="s">
        <v>141</v>
      </c>
      <c r="F150" s="209" t="s">
        <v>142</v>
      </c>
      <c r="G150" s="209" t="s">
        <v>61</v>
      </c>
    </row>
    <row r="151" spans="1:7" x14ac:dyDescent="0.2">
      <c r="A151" s="210">
        <v>41886</v>
      </c>
      <c r="B151" s="209" t="s">
        <v>27</v>
      </c>
      <c r="C151" s="209" t="s">
        <v>131</v>
      </c>
      <c r="D151" s="211">
        <v>3000</v>
      </c>
      <c r="E151" s="209" t="s">
        <v>132</v>
      </c>
      <c r="F151" s="209" t="s">
        <v>133</v>
      </c>
      <c r="G151" s="209" t="s">
        <v>29</v>
      </c>
    </row>
    <row r="152" spans="1:7" x14ac:dyDescent="0.2">
      <c r="A152" s="210">
        <v>41920</v>
      </c>
      <c r="B152" s="209" t="s">
        <v>27</v>
      </c>
      <c r="C152" s="209" t="s">
        <v>131</v>
      </c>
      <c r="D152" s="211">
        <v>3000</v>
      </c>
      <c r="E152" s="209" t="s">
        <v>132</v>
      </c>
      <c r="F152" s="209" t="s">
        <v>133</v>
      </c>
      <c r="G152" s="209" t="s">
        <v>29</v>
      </c>
    </row>
    <row r="153" spans="1:7" x14ac:dyDescent="0.2">
      <c r="A153" s="210">
        <v>41953</v>
      </c>
      <c r="B153" s="209" t="s">
        <v>53</v>
      </c>
      <c r="C153" s="209" t="s">
        <v>110</v>
      </c>
      <c r="D153" s="211">
        <v>370315</v>
      </c>
      <c r="E153" s="209" t="s">
        <v>143</v>
      </c>
      <c r="F153" s="209" t="s">
        <v>144</v>
      </c>
      <c r="G153" s="209" t="s">
        <v>53</v>
      </c>
    </row>
    <row r="154" spans="1:7" x14ac:dyDescent="0.2">
      <c r="A154" s="210">
        <v>41953</v>
      </c>
      <c r="B154" s="209" t="s">
        <v>145</v>
      </c>
      <c r="C154" s="209" t="s">
        <v>110</v>
      </c>
      <c r="D154" s="211">
        <v>38065</v>
      </c>
      <c r="E154" s="209" t="s">
        <v>143</v>
      </c>
      <c r="F154" s="209" t="s">
        <v>144</v>
      </c>
      <c r="G154" s="209" t="s">
        <v>29</v>
      </c>
    </row>
    <row r="155" spans="1:7" x14ac:dyDescent="0.2">
      <c r="A155" s="210">
        <v>41950</v>
      </c>
      <c r="B155" s="209" t="s">
        <v>27</v>
      </c>
      <c r="C155" s="209" t="s">
        <v>137</v>
      </c>
      <c r="D155" s="211">
        <v>250</v>
      </c>
      <c r="E155" s="209" t="s">
        <v>138</v>
      </c>
      <c r="F155" s="209" t="s">
        <v>139</v>
      </c>
      <c r="G155" s="209" t="s">
        <v>52</v>
      </c>
    </row>
    <row r="156" spans="1:7" x14ac:dyDescent="0.2">
      <c r="A156" s="210">
        <v>41950</v>
      </c>
      <c r="B156" s="209" t="s">
        <v>27</v>
      </c>
      <c r="C156" s="209" t="s">
        <v>137</v>
      </c>
      <c r="D156" s="211">
        <v>250</v>
      </c>
      <c r="E156" s="209" t="s">
        <v>138</v>
      </c>
      <c r="F156" s="209" t="s">
        <v>139</v>
      </c>
      <c r="G156" s="209" t="s">
        <v>52</v>
      </c>
    </row>
    <row r="157" spans="1:7" x14ac:dyDescent="0.2">
      <c r="A157" s="210">
        <v>41981</v>
      </c>
      <c r="B157" s="209" t="s">
        <v>27</v>
      </c>
      <c r="C157" s="209" t="s">
        <v>137</v>
      </c>
      <c r="D157" s="211">
        <v>2500</v>
      </c>
      <c r="E157" s="209" t="s">
        <v>138</v>
      </c>
      <c r="F157" s="209" t="s">
        <v>139</v>
      </c>
      <c r="G157" s="209" t="s">
        <v>52</v>
      </c>
    </row>
    <row r="158" spans="1:7" x14ac:dyDescent="0.2">
      <c r="A158" s="210">
        <v>41989</v>
      </c>
      <c r="B158" s="209" t="s">
        <v>126</v>
      </c>
      <c r="C158" s="209" t="s">
        <v>107</v>
      </c>
      <c r="D158" s="211">
        <v>160930.49</v>
      </c>
      <c r="E158" s="209" t="s">
        <v>146</v>
      </c>
      <c r="F158" s="209" t="s">
        <v>147</v>
      </c>
      <c r="G158" s="209" t="s">
        <v>126</v>
      </c>
    </row>
    <row r="159" spans="1:7" x14ac:dyDescent="0.2">
      <c r="A159" s="210">
        <v>41989</v>
      </c>
      <c r="B159" s="209" t="s">
        <v>53</v>
      </c>
      <c r="C159" s="209" t="s">
        <v>107</v>
      </c>
      <c r="D159" s="211">
        <v>472808</v>
      </c>
      <c r="E159" s="209" t="s">
        <v>146</v>
      </c>
      <c r="F159" s="209" t="s">
        <v>147</v>
      </c>
      <c r="G159" s="209" t="s">
        <v>53</v>
      </c>
    </row>
    <row r="160" spans="1:7" x14ac:dyDescent="0.2">
      <c r="A160" s="210">
        <v>42026</v>
      </c>
      <c r="B160" s="209" t="s">
        <v>31</v>
      </c>
      <c r="C160" s="209" t="s">
        <v>120</v>
      </c>
      <c r="D160" s="211">
        <v>118720</v>
      </c>
      <c r="E160" s="209" t="s">
        <v>148</v>
      </c>
      <c r="F160" s="209" t="s">
        <v>149</v>
      </c>
      <c r="G160" s="209" t="s">
        <v>8</v>
      </c>
    </row>
    <row r="161" spans="1:242" x14ac:dyDescent="0.2">
      <c r="A161" s="210">
        <v>42044</v>
      </c>
      <c r="B161" s="209" t="s">
        <v>27</v>
      </c>
      <c r="C161" s="209" t="s">
        <v>150</v>
      </c>
      <c r="D161" s="211">
        <v>15390</v>
      </c>
      <c r="E161" s="209" t="s">
        <v>151</v>
      </c>
      <c r="F161" s="209" t="s">
        <v>152</v>
      </c>
      <c r="G161" s="209" t="s">
        <v>29</v>
      </c>
    </row>
    <row r="162" spans="1:242" x14ac:dyDescent="0.2">
      <c r="A162" s="210">
        <v>42044</v>
      </c>
      <c r="B162" s="209" t="s">
        <v>31</v>
      </c>
      <c r="C162" s="209" t="s">
        <v>150</v>
      </c>
      <c r="D162" s="211">
        <v>17400</v>
      </c>
      <c r="E162" s="209" t="s">
        <v>151</v>
      </c>
      <c r="F162" s="209" t="s">
        <v>152</v>
      </c>
      <c r="G162" s="209" t="s">
        <v>21</v>
      </c>
      <c r="IH162" s="209" t="s">
        <v>157</v>
      </c>
    </row>
    <row r="163" spans="1:242" x14ac:dyDescent="0.2">
      <c r="A163" s="210">
        <v>42054</v>
      </c>
      <c r="B163" s="209" t="s">
        <v>124</v>
      </c>
      <c r="C163" s="209" t="s">
        <v>100</v>
      </c>
      <c r="D163" s="211" t="s">
        <v>369</v>
      </c>
      <c r="E163" s="209" t="s">
        <v>69</v>
      </c>
      <c r="F163" s="209" t="s">
        <v>9</v>
      </c>
      <c r="G163" s="209" t="s">
        <v>10</v>
      </c>
    </row>
    <row r="164" spans="1:242" x14ac:dyDescent="0.2">
      <c r="A164" s="210">
        <v>42054</v>
      </c>
      <c r="B164" s="209" t="s">
        <v>153</v>
      </c>
      <c r="C164" s="209" t="s">
        <v>154</v>
      </c>
      <c r="D164" s="211">
        <v>5000</v>
      </c>
      <c r="E164" s="209" t="s">
        <v>155</v>
      </c>
      <c r="F164" s="209" t="s">
        <v>156</v>
      </c>
      <c r="G164" s="209" t="s">
        <v>52</v>
      </c>
    </row>
    <row r="165" spans="1:242" x14ac:dyDescent="0.2">
      <c r="A165" s="210">
        <v>42076</v>
      </c>
      <c r="B165" s="209" t="s">
        <v>31</v>
      </c>
      <c r="C165" s="209" t="s">
        <v>120</v>
      </c>
      <c r="D165" s="211">
        <v>1383</v>
      </c>
      <c r="E165" s="209" t="s">
        <v>148</v>
      </c>
      <c r="F165" s="209" t="s">
        <v>149</v>
      </c>
      <c r="G165" s="209" t="s">
        <v>8</v>
      </c>
    </row>
    <row r="166" spans="1:242" x14ac:dyDescent="0.2">
      <c r="A166" s="210">
        <v>42083</v>
      </c>
      <c r="B166" s="209" t="s">
        <v>27</v>
      </c>
      <c r="C166" s="209" t="s">
        <v>137</v>
      </c>
      <c r="D166" s="211">
        <v>500</v>
      </c>
      <c r="E166" s="209" t="s">
        <v>158</v>
      </c>
      <c r="F166" s="209" t="s">
        <v>139</v>
      </c>
      <c r="G166" s="209" t="s">
        <v>52</v>
      </c>
    </row>
    <row r="167" spans="1:242" x14ac:dyDescent="0.2">
      <c r="A167" s="210">
        <v>42086</v>
      </c>
      <c r="B167" s="209" t="s">
        <v>27</v>
      </c>
      <c r="C167" s="209" t="s">
        <v>159</v>
      </c>
      <c r="D167" s="211">
        <v>12396</v>
      </c>
      <c r="E167" s="209" t="s">
        <v>160</v>
      </c>
      <c r="F167" s="209" t="s">
        <v>161</v>
      </c>
      <c r="G167" s="209" t="s">
        <v>61</v>
      </c>
    </row>
    <row r="168" spans="1:242" x14ac:dyDescent="0.2">
      <c r="A168" s="210">
        <v>42130</v>
      </c>
      <c r="B168" s="209" t="s">
        <v>27</v>
      </c>
      <c r="C168" s="209" t="s">
        <v>137</v>
      </c>
      <c r="D168" s="211">
        <v>500</v>
      </c>
      <c r="E168" s="209" t="s">
        <v>138</v>
      </c>
      <c r="F168" s="209" t="s">
        <v>139</v>
      </c>
      <c r="G168" s="209" t="s">
        <v>52</v>
      </c>
    </row>
    <row r="169" spans="1:242" x14ac:dyDescent="0.2">
      <c r="A169" s="210">
        <v>42156</v>
      </c>
      <c r="B169" s="209" t="s">
        <v>27</v>
      </c>
      <c r="C169" s="209" t="s">
        <v>137</v>
      </c>
      <c r="D169" s="211">
        <v>250</v>
      </c>
      <c r="E169" s="209" t="s">
        <v>138</v>
      </c>
      <c r="F169" s="209" t="s">
        <v>139</v>
      </c>
      <c r="G169" s="209" t="s">
        <v>52</v>
      </c>
    </row>
    <row r="170" spans="1:242" x14ac:dyDescent="0.2">
      <c r="A170" s="210">
        <v>42156</v>
      </c>
      <c r="B170" s="209" t="s">
        <v>27</v>
      </c>
      <c r="C170" s="209" t="s">
        <v>137</v>
      </c>
      <c r="D170" s="211">
        <v>500</v>
      </c>
      <c r="E170" s="209" t="s">
        <v>138</v>
      </c>
      <c r="F170" s="209" t="s">
        <v>139</v>
      </c>
      <c r="G170" s="209" t="s">
        <v>52</v>
      </c>
    </row>
    <row r="171" spans="1:242" x14ac:dyDescent="0.2">
      <c r="A171" s="210">
        <v>42156</v>
      </c>
      <c r="B171" s="209" t="s">
        <v>27</v>
      </c>
      <c r="C171" s="209" t="s">
        <v>137</v>
      </c>
      <c r="D171" s="211">
        <v>250</v>
      </c>
      <c r="E171" s="209" t="s">
        <v>138</v>
      </c>
      <c r="F171" s="209" t="s">
        <v>139</v>
      </c>
      <c r="G171" s="209" t="s">
        <v>52</v>
      </c>
    </row>
    <row r="172" spans="1:242" x14ac:dyDescent="0.2">
      <c r="A172" s="210">
        <v>42214</v>
      </c>
      <c r="B172" s="209" t="s">
        <v>27</v>
      </c>
      <c r="C172" s="209" t="s">
        <v>137</v>
      </c>
      <c r="D172" s="211">
        <v>250</v>
      </c>
      <c r="E172" s="209" t="s">
        <v>138</v>
      </c>
      <c r="F172" s="209" t="s">
        <v>139</v>
      </c>
      <c r="G172" s="209" t="s">
        <v>52</v>
      </c>
    </row>
    <row r="173" spans="1:242" x14ac:dyDescent="0.2">
      <c r="A173" s="210">
        <v>42221</v>
      </c>
      <c r="B173" s="209" t="s">
        <v>27</v>
      </c>
      <c r="C173" s="209" t="s">
        <v>137</v>
      </c>
      <c r="D173" s="211">
        <v>250</v>
      </c>
      <c r="E173" s="209" t="s">
        <v>138</v>
      </c>
      <c r="F173" s="209" t="s">
        <v>139</v>
      </c>
      <c r="G173" s="209" t="s">
        <v>52</v>
      </c>
    </row>
    <row r="174" spans="1:242" x14ac:dyDescent="0.2">
      <c r="A174" s="210">
        <v>42268</v>
      </c>
      <c r="B174" s="209" t="s">
        <v>31</v>
      </c>
      <c r="C174" s="209" t="s">
        <v>74</v>
      </c>
      <c r="D174" s="211">
        <v>27423.93</v>
      </c>
      <c r="E174" s="209" t="s">
        <v>134</v>
      </c>
      <c r="F174" s="209" t="s">
        <v>162</v>
      </c>
      <c r="G174" s="209" t="s">
        <v>8</v>
      </c>
    </row>
    <row r="175" spans="1:242" x14ac:dyDescent="0.2">
      <c r="A175" s="210">
        <v>42294</v>
      </c>
      <c r="B175" s="209" t="s">
        <v>53</v>
      </c>
      <c r="C175" s="209" t="s">
        <v>164</v>
      </c>
      <c r="D175" s="211">
        <v>10000</v>
      </c>
      <c r="E175" s="209" t="s">
        <v>165</v>
      </c>
      <c r="F175" s="209" t="s">
        <v>166</v>
      </c>
      <c r="G175" s="209" t="s">
        <v>53</v>
      </c>
    </row>
    <row r="176" spans="1:242" x14ac:dyDescent="0.2">
      <c r="A176" s="210">
        <v>42294</v>
      </c>
      <c r="B176" s="209" t="s">
        <v>27</v>
      </c>
      <c r="C176" s="209" t="s">
        <v>164</v>
      </c>
      <c r="D176" s="211">
        <v>32000</v>
      </c>
      <c r="E176" s="209" t="s">
        <v>165</v>
      </c>
      <c r="F176" s="209" t="s">
        <v>167</v>
      </c>
      <c r="G176" s="209" t="s">
        <v>272</v>
      </c>
    </row>
    <row r="177" spans="1:7" x14ac:dyDescent="0.2">
      <c r="A177" s="210">
        <v>42297</v>
      </c>
      <c r="B177" s="209" t="s">
        <v>27</v>
      </c>
      <c r="C177" s="209" t="s">
        <v>164</v>
      </c>
      <c r="D177" s="211">
        <v>623.44000000000005</v>
      </c>
      <c r="E177" s="209" t="s">
        <v>165</v>
      </c>
      <c r="F177" s="209" t="s">
        <v>167</v>
      </c>
      <c r="G177" s="209" t="s">
        <v>272</v>
      </c>
    </row>
    <row r="178" spans="1:7" x14ac:dyDescent="0.2">
      <c r="A178" s="210">
        <v>42314</v>
      </c>
      <c r="B178" s="209" t="s">
        <v>27</v>
      </c>
      <c r="C178" s="209" t="s">
        <v>168</v>
      </c>
      <c r="D178" s="211">
        <v>12750</v>
      </c>
      <c r="E178" s="209" t="s">
        <v>170</v>
      </c>
      <c r="F178" s="209" t="s">
        <v>171</v>
      </c>
      <c r="G178" s="209" t="s">
        <v>16</v>
      </c>
    </row>
    <row r="179" spans="1:7" x14ac:dyDescent="0.2">
      <c r="A179" s="210">
        <v>42317</v>
      </c>
      <c r="B179" s="209" t="s">
        <v>27</v>
      </c>
      <c r="C179" s="209" t="s">
        <v>168</v>
      </c>
      <c r="D179" s="211">
        <v>12750.75</v>
      </c>
      <c r="E179" s="209" t="s">
        <v>170</v>
      </c>
      <c r="F179" s="209" t="s">
        <v>171</v>
      </c>
      <c r="G179" s="209" t="s">
        <v>16</v>
      </c>
    </row>
    <row r="180" spans="1:7" x14ac:dyDescent="0.2">
      <c r="A180" s="210">
        <v>42326</v>
      </c>
      <c r="B180" s="209" t="s">
        <v>27</v>
      </c>
      <c r="C180" s="209" t="s">
        <v>137</v>
      </c>
      <c r="D180" s="211">
        <v>250</v>
      </c>
      <c r="E180" s="209" t="s">
        <v>138</v>
      </c>
      <c r="F180" s="209" t="s">
        <v>139</v>
      </c>
      <c r="G180" s="209" t="s">
        <v>52</v>
      </c>
    </row>
    <row r="181" spans="1:7" x14ac:dyDescent="0.2">
      <c r="A181" s="210">
        <v>42326</v>
      </c>
      <c r="B181" s="209" t="s">
        <v>27</v>
      </c>
      <c r="C181" s="209" t="s">
        <v>137</v>
      </c>
      <c r="D181" s="211">
        <v>250</v>
      </c>
      <c r="E181" s="209" t="s">
        <v>138</v>
      </c>
      <c r="F181" s="209" t="s">
        <v>139</v>
      </c>
      <c r="G181" s="209" t="s">
        <v>52</v>
      </c>
    </row>
    <row r="182" spans="1:7" x14ac:dyDescent="0.2">
      <c r="A182" s="210">
        <v>42362</v>
      </c>
      <c r="B182" s="209" t="s">
        <v>53</v>
      </c>
      <c r="C182" s="209" t="s">
        <v>48</v>
      </c>
      <c r="D182" s="211">
        <v>77482.02</v>
      </c>
      <c r="E182" s="209" t="s">
        <v>130</v>
      </c>
      <c r="F182" s="209" t="s">
        <v>172</v>
      </c>
      <c r="G182" s="209" t="s">
        <v>53</v>
      </c>
    </row>
    <row r="183" spans="1:7" x14ac:dyDescent="0.2">
      <c r="A183" s="210">
        <v>42387</v>
      </c>
      <c r="B183" s="209" t="s">
        <v>27</v>
      </c>
      <c r="C183" s="209" t="s">
        <v>137</v>
      </c>
      <c r="D183" s="211">
        <v>500</v>
      </c>
      <c r="E183" s="209" t="s">
        <v>138</v>
      </c>
      <c r="F183" s="209" t="s">
        <v>139</v>
      </c>
      <c r="G183" s="209" t="s">
        <v>52</v>
      </c>
    </row>
    <row r="184" spans="1:7" x14ac:dyDescent="0.2">
      <c r="A184" s="210">
        <v>42387</v>
      </c>
      <c r="B184" s="209" t="s">
        <v>27</v>
      </c>
      <c r="C184" s="209" t="s">
        <v>137</v>
      </c>
      <c r="D184" s="211">
        <v>500</v>
      </c>
      <c r="E184" s="209" t="s">
        <v>138</v>
      </c>
      <c r="F184" s="209" t="s">
        <v>139</v>
      </c>
      <c r="G184" s="209" t="s">
        <v>52</v>
      </c>
    </row>
    <row r="185" spans="1:7" x14ac:dyDescent="0.2">
      <c r="A185" s="210">
        <v>42432</v>
      </c>
      <c r="B185" s="209" t="s">
        <v>41</v>
      </c>
      <c r="C185" s="209" t="s">
        <v>120</v>
      </c>
      <c r="D185" s="211">
        <v>314666.64</v>
      </c>
      <c r="E185" s="209" t="s">
        <v>148</v>
      </c>
      <c r="F185" s="209" t="s">
        <v>149</v>
      </c>
      <c r="G185" s="209" t="s">
        <v>267</v>
      </c>
    </row>
    <row r="186" spans="1:7" x14ac:dyDescent="0.2">
      <c r="A186" s="210">
        <v>42448</v>
      </c>
      <c r="B186" s="209" t="s">
        <v>283</v>
      </c>
      <c r="C186" s="209" t="s">
        <v>284</v>
      </c>
      <c r="D186" s="211">
        <v>15930</v>
      </c>
      <c r="E186" s="209" t="s">
        <v>299</v>
      </c>
      <c r="F186" s="209" t="s">
        <v>291</v>
      </c>
      <c r="G186" s="209" t="s">
        <v>272</v>
      </c>
    </row>
    <row r="187" spans="1:7" x14ac:dyDescent="0.2">
      <c r="A187" s="210">
        <v>42479</v>
      </c>
      <c r="B187" s="209" t="s">
        <v>27</v>
      </c>
      <c r="C187" s="209" t="s">
        <v>281</v>
      </c>
      <c r="D187" s="211">
        <v>7103.78</v>
      </c>
      <c r="E187" s="209" t="s">
        <v>151</v>
      </c>
      <c r="F187" s="209" t="s">
        <v>282</v>
      </c>
      <c r="G187" s="209" t="s">
        <v>29</v>
      </c>
    </row>
    <row r="188" spans="1:7" x14ac:dyDescent="0.2">
      <c r="A188" s="210">
        <v>42496</v>
      </c>
      <c r="B188" s="209" t="s">
        <v>41</v>
      </c>
      <c r="C188" s="209" t="s">
        <v>120</v>
      </c>
      <c r="D188" s="211">
        <v>157333.32</v>
      </c>
      <c r="E188" s="209" t="s">
        <v>148</v>
      </c>
      <c r="F188" s="209" t="s">
        <v>149</v>
      </c>
    </row>
    <row r="189" spans="1:7" x14ac:dyDescent="0.2">
      <c r="A189" s="210">
        <v>42496</v>
      </c>
      <c r="B189" s="209" t="s">
        <v>53</v>
      </c>
      <c r="C189" s="209" t="s">
        <v>79</v>
      </c>
      <c r="D189" s="211">
        <v>27349.05</v>
      </c>
      <c r="E189" s="209" t="s">
        <v>146</v>
      </c>
      <c r="F189" s="209" t="s">
        <v>147</v>
      </c>
      <c r="G189" s="209" t="s">
        <v>367</v>
      </c>
    </row>
    <row r="190" spans="1:7" x14ac:dyDescent="0.2">
      <c r="A190" s="210">
        <v>42496</v>
      </c>
      <c r="B190" s="209" t="s">
        <v>126</v>
      </c>
      <c r="C190" s="209" t="s">
        <v>79</v>
      </c>
      <c r="D190" s="211">
        <v>21728.45</v>
      </c>
      <c r="E190" s="209" t="s">
        <v>146</v>
      </c>
      <c r="F190" s="209" t="s">
        <v>147</v>
      </c>
      <c r="G190" s="209" t="s">
        <v>368</v>
      </c>
    </row>
    <row r="191" spans="1:7" x14ac:dyDescent="0.2">
      <c r="A191" s="210">
        <v>42506</v>
      </c>
      <c r="B191" s="209" t="s">
        <v>27</v>
      </c>
      <c r="C191" s="209" t="s">
        <v>285</v>
      </c>
      <c r="D191" s="211">
        <v>500</v>
      </c>
      <c r="E191" s="209" t="s">
        <v>138</v>
      </c>
      <c r="F191" s="209" t="s">
        <v>139</v>
      </c>
      <c r="G191" s="209" t="s">
        <v>52</v>
      </c>
    </row>
    <row r="192" spans="1:7" x14ac:dyDescent="0.2">
      <c r="A192" s="210">
        <v>42555</v>
      </c>
      <c r="B192" s="209" t="s">
        <v>27</v>
      </c>
      <c r="C192" s="209" t="s">
        <v>74</v>
      </c>
      <c r="D192" s="211">
        <v>102272.51</v>
      </c>
      <c r="E192" s="209" t="s">
        <v>134</v>
      </c>
      <c r="F192" s="209" t="s">
        <v>286</v>
      </c>
      <c r="G192" s="209" t="s">
        <v>16</v>
      </c>
    </row>
    <row r="193" spans="1:21" x14ac:dyDescent="0.2">
      <c r="A193" s="210">
        <v>42605</v>
      </c>
      <c r="B193" s="209" t="s">
        <v>27</v>
      </c>
      <c r="C193" s="209" t="s">
        <v>137</v>
      </c>
      <c r="D193" s="211">
        <v>500</v>
      </c>
      <c r="E193" s="209" t="s">
        <v>138</v>
      </c>
      <c r="F193" s="209" t="s">
        <v>139</v>
      </c>
      <c r="G193" s="209" t="s">
        <v>52</v>
      </c>
    </row>
    <row r="194" spans="1:21" x14ac:dyDescent="0.2">
      <c r="A194" s="210">
        <v>42695</v>
      </c>
      <c r="B194" s="209" t="s">
        <v>27</v>
      </c>
      <c r="C194" s="209" t="s">
        <v>312</v>
      </c>
      <c r="D194" s="211">
        <v>35000</v>
      </c>
      <c r="E194" s="209" t="s">
        <v>313</v>
      </c>
      <c r="F194" s="209" t="s">
        <v>314</v>
      </c>
      <c r="G194" s="209" t="s">
        <v>29</v>
      </c>
    </row>
    <row r="195" spans="1:21" x14ac:dyDescent="0.2">
      <c r="A195" s="210">
        <v>42695</v>
      </c>
      <c r="B195" s="209" t="s">
        <v>31</v>
      </c>
      <c r="C195" s="209" t="s">
        <v>312</v>
      </c>
      <c r="D195" s="211">
        <v>11200</v>
      </c>
      <c r="E195" s="209" t="s">
        <v>313</v>
      </c>
      <c r="F195" s="209" t="s">
        <v>314</v>
      </c>
      <c r="G195" s="209" t="s">
        <v>21</v>
      </c>
    </row>
    <row r="196" spans="1:21" x14ac:dyDescent="0.2">
      <c r="A196" s="210">
        <v>42766</v>
      </c>
      <c r="B196" s="209" t="s">
        <v>27</v>
      </c>
      <c r="C196" s="209" t="s">
        <v>315</v>
      </c>
      <c r="D196" s="211">
        <f>27500-22916.67</f>
        <v>4583.3300000000017</v>
      </c>
      <c r="E196" s="209" t="s">
        <v>316</v>
      </c>
      <c r="F196" s="209" t="s">
        <v>317</v>
      </c>
      <c r="G196" s="209" t="s">
        <v>29</v>
      </c>
      <c r="H196" s="209" t="s">
        <v>27</v>
      </c>
      <c r="I196" s="209" t="s">
        <v>315</v>
      </c>
      <c r="J196" s="209">
        <f>22916.67</f>
        <v>22916.67</v>
      </c>
      <c r="L196" s="209" t="s">
        <v>365</v>
      </c>
      <c r="M196" s="209" t="s">
        <v>169</v>
      </c>
      <c r="N196" s="209" t="s">
        <v>316</v>
      </c>
      <c r="O196" s="209" t="s">
        <v>317</v>
      </c>
      <c r="P196" s="209" t="s">
        <v>29</v>
      </c>
      <c r="Q196" s="209" t="s">
        <v>339</v>
      </c>
      <c r="T196" s="209" t="s">
        <v>334</v>
      </c>
      <c r="U196" s="209">
        <v>9461493</v>
      </c>
    </row>
    <row r="197" spans="1:21" x14ac:dyDescent="0.2">
      <c r="A197" s="210">
        <v>42787</v>
      </c>
      <c r="B197" s="209" t="s">
        <v>27</v>
      </c>
      <c r="C197" s="209" t="s">
        <v>110</v>
      </c>
      <c r="D197" s="211">
        <v>84897</v>
      </c>
      <c r="E197" s="209" t="s">
        <v>143</v>
      </c>
      <c r="F197" s="209" t="s">
        <v>144</v>
      </c>
      <c r="G197" s="209" t="s">
        <v>29</v>
      </c>
    </row>
    <row r="198" spans="1:21" x14ac:dyDescent="0.2">
      <c r="A198" s="210">
        <v>42787</v>
      </c>
      <c r="B198" s="209" t="s">
        <v>53</v>
      </c>
      <c r="C198" s="209" t="s">
        <v>110</v>
      </c>
      <c r="D198" s="211">
        <v>370315</v>
      </c>
      <c r="E198" s="209" t="s">
        <v>143</v>
      </c>
      <c r="F198" s="209" t="s">
        <v>144</v>
      </c>
      <c r="G198" s="209" t="s">
        <v>53</v>
      </c>
    </row>
    <row r="199" spans="1:21" ht="18" customHeight="1" x14ac:dyDescent="0.2">
      <c r="A199" s="210">
        <v>42740</v>
      </c>
      <c r="B199" s="209" t="s">
        <v>53</v>
      </c>
      <c r="C199" s="209" t="s">
        <v>120</v>
      </c>
      <c r="D199" s="211">
        <v>53838.5</v>
      </c>
      <c r="E199" s="209" t="s">
        <v>318</v>
      </c>
      <c r="F199" s="209" t="s">
        <v>149</v>
      </c>
      <c r="G199" s="209" t="s">
        <v>53</v>
      </c>
    </row>
    <row r="200" spans="1:21" x14ac:dyDescent="0.2">
      <c r="A200" s="210">
        <v>42832</v>
      </c>
      <c r="B200" s="209" t="s">
        <v>27</v>
      </c>
      <c r="C200" s="209" t="s">
        <v>120</v>
      </c>
      <c r="D200" s="211">
        <v>2863</v>
      </c>
      <c r="E200" s="209" t="s">
        <v>121</v>
      </c>
      <c r="F200" s="209" t="s">
        <v>370</v>
      </c>
      <c r="G200" s="209" t="s">
        <v>61</v>
      </c>
    </row>
    <row r="201" spans="1:21" x14ac:dyDescent="0.2">
      <c r="A201" s="210">
        <v>42857</v>
      </c>
      <c r="B201" s="209" t="s">
        <v>53</v>
      </c>
      <c r="C201" s="209" t="s">
        <v>327</v>
      </c>
      <c r="D201" s="211">
        <v>231390</v>
      </c>
      <c r="E201" s="209" t="s">
        <v>328</v>
      </c>
      <c r="F201" s="209" t="s">
        <v>329</v>
      </c>
      <c r="G201" s="209" t="s">
        <v>330</v>
      </c>
    </row>
    <row r="202" spans="1:21" ht="27" customHeight="1" x14ac:dyDescent="0.2">
      <c r="A202" s="210">
        <v>42860</v>
      </c>
      <c r="B202" s="209" t="s">
        <v>27</v>
      </c>
      <c r="C202" s="209" t="s">
        <v>335</v>
      </c>
      <c r="D202" s="211">
        <v>16099</v>
      </c>
      <c r="E202" s="209" t="s">
        <v>336</v>
      </c>
      <c r="F202" s="209" t="s">
        <v>337</v>
      </c>
      <c r="G202" s="209" t="s">
        <v>16</v>
      </c>
    </row>
    <row r="203" spans="1:21" x14ac:dyDescent="0.2">
      <c r="A203" s="210">
        <v>42874</v>
      </c>
      <c r="B203" s="209" t="s">
        <v>27</v>
      </c>
      <c r="C203" s="209" t="s">
        <v>159</v>
      </c>
      <c r="D203" s="211">
        <v>7058.25</v>
      </c>
      <c r="E203" s="209" t="s">
        <v>160</v>
      </c>
      <c r="F203" s="209" t="s">
        <v>338</v>
      </c>
      <c r="G203" s="209" t="s">
        <v>61</v>
      </c>
    </row>
    <row r="204" spans="1:21" x14ac:dyDescent="0.2">
      <c r="A204" s="210">
        <v>42924</v>
      </c>
      <c r="B204" s="209" t="s">
        <v>31</v>
      </c>
      <c r="C204" s="209" t="s">
        <v>120</v>
      </c>
      <c r="D204" s="211">
        <v>7700</v>
      </c>
      <c r="E204" s="209" t="s">
        <v>318</v>
      </c>
      <c r="F204" s="209" t="s">
        <v>366</v>
      </c>
      <c r="G204" s="209" t="s">
        <v>8</v>
      </c>
    </row>
    <row r="205" spans="1:21" x14ac:dyDescent="0.2">
      <c r="A205" s="210">
        <v>42944</v>
      </c>
      <c r="B205" s="209" t="s">
        <v>53</v>
      </c>
      <c r="C205" s="209" t="s">
        <v>387</v>
      </c>
      <c r="D205" s="211">
        <v>161515.5</v>
      </c>
      <c r="E205" s="209" t="s">
        <v>318</v>
      </c>
      <c r="F205" s="209" t="s">
        <v>366</v>
      </c>
      <c r="G205" s="209" t="s">
        <v>330</v>
      </c>
    </row>
    <row r="206" spans="1:21" x14ac:dyDescent="0.2">
      <c r="A206" s="210">
        <v>43039</v>
      </c>
      <c r="B206" s="209" t="s">
        <v>388</v>
      </c>
      <c r="C206" s="209" t="s">
        <v>389</v>
      </c>
      <c r="D206" s="211">
        <v>7966</v>
      </c>
      <c r="E206" s="209" t="s">
        <v>390</v>
      </c>
      <c r="F206" s="209" t="s">
        <v>391</v>
      </c>
      <c r="G206" s="209" t="s">
        <v>8</v>
      </c>
    </row>
    <row r="207" spans="1:21" x14ac:dyDescent="0.2">
      <c r="A207" s="210">
        <v>43066</v>
      </c>
      <c r="B207" s="209" t="s">
        <v>27</v>
      </c>
      <c r="C207" s="209" t="s">
        <v>100</v>
      </c>
      <c r="D207" s="211">
        <v>50892</v>
      </c>
      <c r="E207" s="209" t="s">
        <v>69</v>
      </c>
      <c r="F207" s="209" t="s">
        <v>392</v>
      </c>
      <c r="G207" s="209" t="s">
        <v>16</v>
      </c>
    </row>
    <row r="208" spans="1:21" x14ac:dyDescent="0.2">
      <c r="A208" s="210">
        <v>43066</v>
      </c>
      <c r="B208" s="209" t="s">
        <v>53</v>
      </c>
      <c r="C208" s="209" t="s">
        <v>100</v>
      </c>
      <c r="D208" s="211">
        <v>55988.4</v>
      </c>
      <c r="E208" s="209" t="s">
        <v>69</v>
      </c>
      <c r="F208" s="209" t="s">
        <v>392</v>
      </c>
      <c r="G208" s="209" t="s">
        <v>330</v>
      </c>
    </row>
    <row r="209" spans="1:7" x14ac:dyDescent="0.2">
      <c r="A209" s="210">
        <v>43066</v>
      </c>
      <c r="B209" s="209" t="s">
        <v>393</v>
      </c>
      <c r="C209" s="209" t="s">
        <v>100</v>
      </c>
      <c r="D209" s="211">
        <v>106030</v>
      </c>
      <c r="E209" s="209" t="s">
        <v>69</v>
      </c>
      <c r="F209" s="209" t="s">
        <v>392</v>
      </c>
      <c r="G209" s="209" t="s">
        <v>394</v>
      </c>
    </row>
    <row r="210" spans="1:7" x14ac:dyDescent="0.2">
      <c r="A210" s="210">
        <v>43072</v>
      </c>
      <c r="B210" s="209" t="s">
        <v>53</v>
      </c>
      <c r="C210" s="209" t="s">
        <v>120</v>
      </c>
      <c r="D210" s="211">
        <v>10082</v>
      </c>
      <c r="E210" s="209" t="s">
        <v>318</v>
      </c>
      <c r="F210" s="209" t="s">
        <v>366</v>
      </c>
      <c r="G210" s="209" t="s">
        <v>330</v>
      </c>
    </row>
    <row r="211" spans="1:7" x14ac:dyDescent="0.2">
      <c r="A211" s="210">
        <v>43120</v>
      </c>
      <c r="B211" s="209" t="s">
        <v>53</v>
      </c>
      <c r="C211" s="209" t="s">
        <v>327</v>
      </c>
      <c r="D211" s="211">
        <v>231390</v>
      </c>
      <c r="E211" s="209" t="s">
        <v>328</v>
      </c>
      <c r="F211" s="209" t="s">
        <v>329</v>
      </c>
      <c r="G211" s="209" t="s">
        <v>330</v>
      </c>
    </row>
    <row r="212" spans="1:7" x14ac:dyDescent="0.2">
      <c r="A212" s="210">
        <v>43223</v>
      </c>
      <c r="B212" s="209" t="s">
        <v>31</v>
      </c>
      <c r="C212" s="209" t="s">
        <v>110</v>
      </c>
      <c r="D212" s="211">
        <v>151902</v>
      </c>
      <c r="E212" s="209" t="s">
        <v>143</v>
      </c>
      <c r="F212" s="209" t="s">
        <v>415</v>
      </c>
      <c r="G212" s="209" t="s">
        <v>21</v>
      </c>
    </row>
    <row r="213" spans="1:7" x14ac:dyDescent="0.2">
      <c r="A213" s="210">
        <v>43243</v>
      </c>
      <c r="B213" s="209" t="s">
        <v>53</v>
      </c>
      <c r="C213" s="209" t="s">
        <v>120</v>
      </c>
      <c r="D213" s="211">
        <v>161515.5</v>
      </c>
      <c r="E213" s="209" t="s">
        <v>318</v>
      </c>
      <c r="F213" s="209" t="s">
        <v>408</v>
      </c>
      <c r="G213" s="209" t="s">
        <v>53</v>
      </c>
    </row>
    <row r="214" spans="1:7" x14ac:dyDescent="0.2">
      <c r="A214" s="210">
        <v>43250</v>
      </c>
      <c r="B214" s="209" t="s">
        <v>409</v>
      </c>
      <c r="C214" s="209" t="s">
        <v>120</v>
      </c>
      <c r="D214" s="211">
        <v>392400</v>
      </c>
      <c r="E214" s="209" t="s">
        <v>318</v>
      </c>
      <c r="F214" s="209" t="s">
        <v>408</v>
      </c>
      <c r="G214" s="209" t="s">
        <v>410</v>
      </c>
    </row>
    <row r="215" spans="1:7" x14ac:dyDescent="0.2">
      <c r="A215" s="210">
        <v>43321</v>
      </c>
      <c r="B215" s="209" t="s">
        <v>27</v>
      </c>
      <c r="C215" s="209" t="s">
        <v>411</v>
      </c>
      <c r="D215" s="211">
        <v>27000</v>
      </c>
      <c r="E215" s="209" t="s">
        <v>412</v>
      </c>
      <c r="F215" s="209" t="s">
        <v>413</v>
      </c>
      <c r="G215" s="209" t="s">
        <v>52</v>
      </c>
    </row>
    <row r="216" spans="1:7" x14ac:dyDescent="0.2">
      <c r="A216" s="210">
        <v>43321</v>
      </c>
      <c r="B216" s="209" t="s">
        <v>53</v>
      </c>
      <c r="C216" s="209" t="s">
        <v>411</v>
      </c>
      <c r="D216" s="211">
        <v>41682.730000000003</v>
      </c>
      <c r="E216" s="209" t="s">
        <v>412</v>
      </c>
      <c r="F216" s="209" t="s">
        <v>413</v>
      </c>
      <c r="G216" s="209" t="s">
        <v>53</v>
      </c>
    </row>
    <row r="217" spans="1:7" x14ac:dyDescent="0.2">
      <c r="A217" s="210">
        <v>43406</v>
      </c>
      <c r="B217" s="209" t="s">
        <v>53</v>
      </c>
      <c r="C217" s="209" t="s">
        <v>120</v>
      </c>
      <c r="D217" s="211">
        <v>161515.5</v>
      </c>
      <c r="E217" s="209" t="s">
        <v>318</v>
      </c>
      <c r="F217" s="209" t="s">
        <v>408</v>
      </c>
      <c r="G217" s="209" t="s">
        <v>53</v>
      </c>
    </row>
    <row r="218" spans="1:7" x14ac:dyDescent="0.2">
      <c r="A218" s="210">
        <v>43389</v>
      </c>
      <c r="B218" s="209" t="s">
        <v>53</v>
      </c>
      <c r="C218" s="209" t="s">
        <v>416</v>
      </c>
      <c r="D218" s="211">
        <v>22910</v>
      </c>
      <c r="E218" s="209" t="s">
        <v>417</v>
      </c>
      <c r="F218" s="209" t="s">
        <v>413</v>
      </c>
      <c r="G218" s="209" t="s">
        <v>53</v>
      </c>
    </row>
    <row r="219" spans="1:7" x14ac:dyDescent="0.2">
      <c r="A219" s="210">
        <v>43389</v>
      </c>
      <c r="B219" s="209" t="s">
        <v>27</v>
      </c>
      <c r="C219" s="209" t="s">
        <v>416</v>
      </c>
      <c r="D219" s="211">
        <v>9000</v>
      </c>
      <c r="E219" s="209" t="s">
        <v>417</v>
      </c>
      <c r="F219" s="209" t="s">
        <v>413</v>
      </c>
      <c r="G219" s="209" t="s">
        <v>52</v>
      </c>
    </row>
    <row r="220" spans="1:7" x14ac:dyDescent="0.2">
      <c r="A220" s="210">
        <v>43448</v>
      </c>
      <c r="B220" s="209" t="s">
        <v>53</v>
      </c>
      <c r="C220" s="209" t="s">
        <v>120</v>
      </c>
      <c r="D220" s="211">
        <v>35562</v>
      </c>
      <c r="E220" s="209" t="s">
        <v>318</v>
      </c>
      <c r="F220" s="209" t="s">
        <v>408</v>
      </c>
      <c r="G220" s="209" t="s">
        <v>53</v>
      </c>
    </row>
    <row r="221" spans="1:7" x14ac:dyDescent="0.2">
      <c r="A221" s="210">
        <v>43511</v>
      </c>
      <c r="B221" s="209" t="s">
        <v>31</v>
      </c>
      <c r="C221" s="209" t="s">
        <v>110</v>
      </c>
      <c r="D221" s="211">
        <v>7700</v>
      </c>
      <c r="E221" s="209" t="s">
        <v>143</v>
      </c>
      <c r="F221" s="209" t="s">
        <v>415</v>
      </c>
      <c r="G221" s="209" t="s">
        <v>21</v>
      </c>
    </row>
    <row r="222" spans="1:7" x14ac:dyDescent="0.2">
      <c r="A222" s="210">
        <v>43504</v>
      </c>
      <c r="B222" s="209" t="s">
        <v>53</v>
      </c>
      <c r="C222" s="209" t="s">
        <v>418</v>
      </c>
      <c r="D222" s="211">
        <v>97052.3</v>
      </c>
      <c r="E222" s="209" t="s">
        <v>419</v>
      </c>
      <c r="F222" s="209" t="s">
        <v>420</v>
      </c>
      <c r="G222" s="209" t="s">
        <v>53</v>
      </c>
    </row>
    <row r="223" spans="1:7" x14ac:dyDescent="0.2">
      <c r="A223" s="210">
        <v>43504</v>
      </c>
      <c r="B223" s="209" t="s">
        <v>31</v>
      </c>
      <c r="C223" s="209" t="s">
        <v>418</v>
      </c>
      <c r="D223" s="211">
        <v>16944.97</v>
      </c>
      <c r="E223" s="209" t="s">
        <v>419</v>
      </c>
      <c r="F223" s="209" t="s">
        <v>420</v>
      </c>
      <c r="G223" s="209" t="s">
        <v>6</v>
      </c>
    </row>
    <row r="224" spans="1:7" x14ac:dyDescent="0.2">
      <c r="A224" s="210">
        <v>43517</v>
      </c>
      <c r="C224" s="209" t="s">
        <v>120</v>
      </c>
      <c r="D224" s="211">
        <v>50203.12</v>
      </c>
      <c r="E224" s="209" t="s">
        <v>318</v>
      </c>
      <c r="F224" s="209" t="s">
        <v>408</v>
      </c>
      <c r="G224" s="209" t="s">
        <v>16</v>
      </c>
    </row>
    <row r="225" spans="1:7" x14ac:dyDescent="0.2">
      <c r="A225" s="210">
        <v>43518</v>
      </c>
      <c r="B225" s="209" t="s">
        <v>27</v>
      </c>
      <c r="C225" s="209" t="s">
        <v>423</v>
      </c>
      <c r="D225" s="211">
        <v>46728.480000000003</v>
      </c>
      <c r="E225" s="209" t="s">
        <v>421</v>
      </c>
      <c r="F225" s="209" t="s">
        <v>422</v>
      </c>
    </row>
    <row r="226" spans="1:7" x14ac:dyDescent="0.2">
      <c r="A226" s="210">
        <v>43536</v>
      </c>
      <c r="B226" s="209" t="s">
        <v>31</v>
      </c>
      <c r="C226" s="209" t="s">
        <v>424</v>
      </c>
      <c r="D226" s="211">
        <v>118400</v>
      </c>
      <c r="E226" s="209" t="s">
        <v>425</v>
      </c>
      <c r="F226" s="209" t="s">
        <v>426</v>
      </c>
      <c r="G226" s="209" t="s">
        <v>6</v>
      </c>
    </row>
    <row r="227" spans="1:7" x14ac:dyDescent="0.2">
      <c r="A227" s="210">
        <v>43558</v>
      </c>
      <c r="B227" s="209" t="s">
        <v>27</v>
      </c>
      <c r="C227" s="209" t="s">
        <v>427</v>
      </c>
      <c r="D227" s="211">
        <v>145623.4</v>
      </c>
      <c r="E227" s="209" t="s">
        <v>134</v>
      </c>
      <c r="F227" s="209" t="s">
        <v>428</v>
      </c>
      <c r="G227" s="209" t="s">
        <v>27</v>
      </c>
    </row>
    <row r="228" spans="1:7" x14ac:dyDescent="0.2">
      <c r="A228" s="210">
        <v>43605</v>
      </c>
      <c r="B228" s="209" t="s">
        <v>27</v>
      </c>
      <c r="C228" s="209" t="s">
        <v>429</v>
      </c>
      <c r="D228" s="211">
        <v>15533.96</v>
      </c>
      <c r="E228" s="209" t="s">
        <v>412</v>
      </c>
      <c r="F228" s="209" t="s">
        <v>430</v>
      </c>
      <c r="G228" s="209" t="s">
        <v>27</v>
      </c>
    </row>
    <row r="229" spans="1:7" x14ac:dyDescent="0.2">
      <c r="A229" s="210">
        <v>43605</v>
      </c>
      <c r="B229" s="209" t="s">
        <v>432</v>
      </c>
      <c r="C229" s="209" t="s">
        <v>429</v>
      </c>
      <c r="D229" s="211">
        <v>29737.18</v>
      </c>
      <c r="E229" s="209" t="s">
        <v>412</v>
      </c>
      <c r="F229" s="209" t="s">
        <v>430</v>
      </c>
      <c r="G229" s="209" t="s">
        <v>431</v>
      </c>
    </row>
    <row r="230" spans="1:7" x14ac:dyDescent="0.2">
      <c r="A230" s="210">
        <v>43675</v>
      </c>
      <c r="B230" s="209" t="s">
        <v>27</v>
      </c>
      <c r="C230" s="209" t="s">
        <v>433</v>
      </c>
      <c r="D230" s="211">
        <v>8000</v>
      </c>
      <c r="E230" s="209" t="s">
        <v>434</v>
      </c>
      <c r="F230" s="209" t="s">
        <v>435</v>
      </c>
      <c r="G230" s="209" t="s">
        <v>52</v>
      </c>
    </row>
    <row r="231" spans="1:7" x14ac:dyDescent="0.2">
      <c r="A231" s="210">
        <v>43675</v>
      </c>
      <c r="B231" s="209" t="s">
        <v>436</v>
      </c>
      <c r="C231" s="209" t="s">
        <v>433</v>
      </c>
      <c r="D231" s="211">
        <v>16000</v>
      </c>
      <c r="E231" s="209" t="s">
        <v>434</v>
      </c>
      <c r="F231" s="209" t="s">
        <v>435</v>
      </c>
      <c r="G231" s="209" t="s">
        <v>437</v>
      </c>
    </row>
    <row r="232" spans="1:7" x14ac:dyDescent="0.2">
      <c r="A232" s="210">
        <v>43627</v>
      </c>
      <c r="B232" s="209" t="s">
        <v>27</v>
      </c>
      <c r="C232" s="209" t="s">
        <v>315</v>
      </c>
      <c r="D232" s="211">
        <v>4583.33</v>
      </c>
      <c r="E232" s="209" t="s">
        <v>316</v>
      </c>
      <c r="F232" s="209" t="s">
        <v>438</v>
      </c>
      <c r="G232" s="209" t="s">
        <v>27</v>
      </c>
    </row>
    <row r="233" spans="1:7" x14ac:dyDescent="0.2">
      <c r="A233" s="210">
        <v>43675</v>
      </c>
      <c r="B233" s="209" t="s">
        <v>31</v>
      </c>
      <c r="C233" s="209" t="s">
        <v>439</v>
      </c>
      <c r="D233" s="211">
        <v>270000</v>
      </c>
      <c r="E233" s="209" t="s">
        <v>328</v>
      </c>
      <c r="F233" s="209" t="s">
        <v>440</v>
      </c>
      <c r="G233" s="209" t="s">
        <v>441</v>
      </c>
    </row>
    <row r="234" spans="1:7" x14ac:dyDescent="0.2">
      <c r="A234" s="210">
        <v>43675</v>
      </c>
      <c r="B234" s="209" t="s">
        <v>432</v>
      </c>
      <c r="C234" s="209" t="s">
        <v>439</v>
      </c>
      <c r="D234" s="211">
        <v>3731390</v>
      </c>
      <c r="E234" s="209" t="s">
        <v>328</v>
      </c>
      <c r="F234" s="209" t="s">
        <v>440</v>
      </c>
      <c r="G234" s="209" t="s">
        <v>431</v>
      </c>
    </row>
    <row r="235" spans="1:7" x14ac:dyDescent="0.2">
      <c r="A235" s="210">
        <v>43656</v>
      </c>
      <c r="B235" s="209" t="s">
        <v>27</v>
      </c>
      <c r="C235" s="209" t="s">
        <v>315</v>
      </c>
      <c r="D235" s="211">
        <v>4583.33</v>
      </c>
      <c r="E235" s="209" t="s">
        <v>316</v>
      </c>
      <c r="F235" s="209" t="s">
        <v>438</v>
      </c>
      <c r="G235" s="209" t="s">
        <v>27</v>
      </c>
    </row>
    <row r="236" spans="1:7" x14ac:dyDescent="0.2">
      <c r="A236" s="210">
        <v>43670</v>
      </c>
      <c r="B236" s="209" t="s">
        <v>27</v>
      </c>
      <c r="C236" s="209" t="s">
        <v>445</v>
      </c>
      <c r="D236" s="211">
        <v>16872.810000000001</v>
      </c>
      <c r="E236" s="209" t="s">
        <v>336</v>
      </c>
      <c r="F236" s="209" t="s">
        <v>337</v>
      </c>
      <c r="G236" s="209" t="s">
        <v>27</v>
      </c>
    </row>
    <row r="237" spans="1:7" ht="18" customHeight="1" x14ac:dyDescent="0.2">
      <c r="B237" s="209" t="s">
        <v>31</v>
      </c>
      <c r="C237" s="209" t="s">
        <v>439</v>
      </c>
      <c r="D237" s="211">
        <v>30554.27</v>
      </c>
      <c r="E237" s="209" t="s">
        <v>328</v>
      </c>
      <c r="F237" s="209" t="s">
        <v>440</v>
      </c>
      <c r="G237" s="209" t="s">
        <v>441</v>
      </c>
    </row>
    <row r="238" spans="1:7" x14ac:dyDescent="0.2">
      <c r="A238" s="210">
        <v>43691</v>
      </c>
      <c r="B238" s="209" t="s">
        <v>31</v>
      </c>
      <c r="C238" s="209" t="s">
        <v>424</v>
      </c>
      <c r="D238" s="211">
        <v>20341</v>
      </c>
      <c r="E238" s="209" t="s">
        <v>425</v>
      </c>
      <c r="F238" s="209" t="s">
        <v>426</v>
      </c>
      <c r="G238" s="209" t="s">
        <v>6</v>
      </c>
    </row>
    <row r="239" spans="1:7" x14ac:dyDescent="0.2">
      <c r="B239" s="209" t="s">
        <v>31</v>
      </c>
      <c r="C239" s="209" t="s">
        <v>446</v>
      </c>
      <c r="D239" s="211">
        <v>-17400</v>
      </c>
      <c r="E239" s="209" t="s">
        <v>447</v>
      </c>
      <c r="F239" s="209" t="s">
        <v>448</v>
      </c>
      <c r="G239" s="209" t="s">
        <v>449</v>
      </c>
    </row>
    <row r="240" spans="1:7" x14ac:dyDescent="0.2">
      <c r="A240" s="210">
        <v>43682</v>
      </c>
      <c r="B240" s="209" t="s">
        <v>410</v>
      </c>
      <c r="C240" s="209" t="s">
        <v>450</v>
      </c>
      <c r="D240" s="211">
        <v>392400</v>
      </c>
      <c r="E240" s="209" t="s">
        <v>318</v>
      </c>
      <c r="F240" s="209" t="s">
        <v>451</v>
      </c>
      <c r="G240" s="209" t="s">
        <v>452</v>
      </c>
    </row>
    <row r="241" spans="1:7" x14ac:dyDescent="0.2">
      <c r="A241" s="210">
        <v>43784</v>
      </c>
      <c r="B241" s="209" t="s">
        <v>453</v>
      </c>
      <c r="C241" s="209" t="s">
        <v>454</v>
      </c>
      <c r="D241" s="211">
        <v>1600</v>
      </c>
      <c r="E241" s="209" t="s">
        <v>455</v>
      </c>
      <c r="F241" s="209" t="s">
        <v>456</v>
      </c>
      <c r="G241" s="209" t="s">
        <v>457</v>
      </c>
    </row>
    <row r="242" spans="1:7" x14ac:dyDescent="0.2">
      <c r="A242" s="210">
        <v>43756</v>
      </c>
      <c r="B242" s="209" t="s">
        <v>432</v>
      </c>
      <c r="C242" s="209" t="s">
        <v>446</v>
      </c>
      <c r="D242" s="211">
        <v>-231930</v>
      </c>
      <c r="E242" s="209" t="s">
        <v>328</v>
      </c>
      <c r="F242" s="209" t="s">
        <v>440</v>
      </c>
      <c r="G242" s="209" t="s">
        <v>449</v>
      </c>
    </row>
    <row r="243" spans="1:7" x14ac:dyDescent="0.2">
      <c r="A243" s="210">
        <v>43777</v>
      </c>
      <c r="B243" s="209" t="s">
        <v>432</v>
      </c>
      <c r="C243" s="209" t="s">
        <v>439</v>
      </c>
      <c r="D243" s="211">
        <v>652745</v>
      </c>
      <c r="E243" s="209" t="s">
        <v>328</v>
      </c>
      <c r="F243" s="209" t="s">
        <v>440</v>
      </c>
      <c r="G243" s="209" t="s">
        <v>431</v>
      </c>
    </row>
    <row r="244" spans="1:7" x14ac:dyDescent="0.2">
      <c r="A244" s="210">
        <v>43655</v>
      </c>
      <c r="B244" s="209" t="s">
        <v>27</v>
      </c>
      <c r="C244" s="209" t="s">
        <v>442</v>
      </c>
      <c r="D244" s="211" t="s">
        <v>458</v>
      </c>
      <c r="E244" s="209" t="s">
        <v>443</v>
      </c>
      <c r="F244" s="209" t="s">
        <v>444</v>
      </c>
      <c r="G244" s="209" t="s">
        <v>27</v>
      </c>
    </row>
  </sheetData>
  <autoFilter ref="A2:G199" xr:uid="{00000000-0009-0000-0000-000000000000}"/>
  <sortState xmlns:xlrd2="http://schemas.microsoft.com/office/spreadsheetml/2017/richdata2" ref="A2:Q205">
    <sortCondition ref="A2:A205"/>
  </sortState>
  <pageMargins left="0.25" right="0.25" top="0.75" bottom="0.75" header="0.3" footer="0.3"/>
  <pageSetup paperSize="9" scale="3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36"/>
  <sheetViews>
    <sheetView zoomScaleNormal="100" workbookViewId="0">
      <pane xSplit="3" ySplit="1" topLeftCell="D2" activePane="bottomRight" state="frozen"/>
      <selection activeCell="D2" sqref="D2:I30"/>
      <selection pane="topRight" activeCell="D2" sqref="D2:I30"/>
      <selection pane="bottomLeft" activeCell="D2" sqref="D2:I30"/>
      <selection pane="bottomRight" activeCell="E37" sqref="E37"/>
    </sheetView>
  </sheetViews>
  <sheetFormatPr defaultColWidth="9.140625" defaultRowHeight="12.75" outlineLevelCol="1" x14ac:dyDescent="0.25"/>
  <cols>
    <col min="1" max="1" width="15" style="13" customWidth="1" outlineLevel="1"/>
    <col min="2" max="2" width="9.140625" style="13" customWidth="1" outlineLevel="1"/>
    <col min="3" max="3" width="52.140625" style="174" customWidth="1"/>
    <col min="4" max="4" width="9.7109375" style="174" customWidth="1"/>
    <col min="5" max="5" width="11.7109375" style="174" bestFit="1" customWidth="1"/>
    <col min="6" max="6" width="10.140625" style="174" bestFit="1" customWidth="1"/>
    <col min="7" max="7" width="11.7109375" style="174" bestFit="1" customWidth="1"/>
    <col min="8" max="8" width="14" style="174" customWidth="1"/>
    <col min="9" max="9" width="11.7109375" style="174" bestFit="1" customWidth="1"/>
    <col min="10" max="10" width="10.7109375" style="174" bestFit="1" customWidth="1"/>
    <col min="11" max="11" width="11.140625" style="174" bestFit="1" customWidth="1"/>
    <col min="12" max="12" width="14.85546875" style="174" bestFit="1" customWidth="1"/>
    <col min="13" max="13" width="14.85546875" style="174" customWidth="1"/>
    <col min="14" max="14" width="10.140625" style="174" bestFit="1" customWidth="1"/>
    <col min="15" max="15" width="12.7109375" style="174" bestFit="1" customWidth="1"/>
    <col min="16" max="16" width="9.140625" style="174"/>
    <col min="17" max="17" width="11.5703125" style="174" customWidth="1"/>
    <col min="18" max="18" width="10.7109375" style="174" bestFit="1" customWidth="1"/>
    <col min="19" max="19" width="11.85546875" style="174" bestFit="1" customWidth="1"/>
    <col min="20" max="20" width="13.5703125" style="174" customWidth="1"/>
    <col min="21" max="21" width="32.5703125" style="174" bestFit="1" customWidth="1"/>
    <col min="22" max="22" width="10.42578125" style="174" customWidth="1"/>
    <col min="23" max="16384" width="9.140625" style="174"/>
  </cols>
  <sheetData>
    <row r="1" spans="1:22" s="13" customFormat="1" ht="15" x14ac:dyDescent="0.25">
      <c r="A1" s="11"/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2" s="13" customFormat="1" ht="16.5" customHeight="1" x14ac:dyDescent="0.25">
      <c r="A2" s="14"/>
      <c r="B2" s="14"/>
      <c r="C2" s="15"/>
      <c r="D2" s="15"/>
      <c r="E2" s="15"/>
      <c r="F2" s="15"/>
      <c r="G2" s="15"/>
      <c r="Q2" s="11"/>
      <c r="R2" s="11"/>
      <c r="S2" s="11"/>
      <c r="T2" s="11"/>
      <c r="U2" s="11"/>
    </row>
    <row r="3" spans="1:22" s="13" customFormat="1" ht="49.5" customHeight="1" x14ac:dyDescent="0.25">
      <c r="A3" s="16" t="s">
        <v>173</v>
      </c>
      <c r="B3" s="16" t="s">
        <v>174</v>
      </c>
      <c r="C3" s="17" t="s">
        <v>175</v>
      </c>
      <c r="D3" s="18" t="s">
        <v>176</v>
      </c>
      <c r="E3" s="18" t="s">
        <v>340</v>
      </c>
      <c r="F3" s="19" t="s">
        <v>254</v>
      </c>
      <c r="G3" s="18" t="s">
        <v>341</v>
      </c>
      <c r="H3" s="215" t="s">
        <v>177</v>
      </c>
      <c r="I3" s="216"/>
      <c r="J3" s="216"/>
      <c r="K3" s="216"/>
      <c r="L3" s="216"/>
      <c r="M3" s="216"/>
      <c r="N3" s="216"/>
      <c r="O3" s="20"/>
      <c r="P3" s="20"/>
      <c r="Q3" s="217" t="s">
        <v>268</v>
      </c>
      <c r="R3" s="217"/>
      <c r="S3" s="217"/>
      <c r="T3" s="21" t="s">
        <v>279</v>
      </c>
      <c r="U3" s="21" t="s">
        <v>292</v>
      </c>
      <c r="V3" s="22" t="s">
        <v>274</v>
      </c>
    </row>
    <row r="4" spans="1:22" s="13" customFormat="1" ht="30" x14ac:dyDescent="0.25">
      <c r="A4" s="23"/>
      <c r="B4" s="23"/>
      <c r="C4" s="24" t="s">
        <v>178</v>
      </c>
      <c r="D4" s="18"/>
      <c r="E4" s="25" t="s">
        <v>342</v>
      </c>
      <c r="F4" s="25" t="s">
        <v>342</v>
      </c>
      <c r="G4" s="25" t="s">
        <v>342</v>
      </c>
      <c r="H4" s="25" t="s">
        <v>27</v>
      </c>
      <c r="I4" s="25" t="s">
        <v>31</v>
      </c>
      <c r="J4" s="26" t="s">
        <v>220</v>
      </c>
      <c r="K4" s="26" t="s">
        <v>280</v>
      </c>
      <c r="L4" s="25" t="s">
        <v>265</v>
      </c>
      <c r="M4" s="25" t="s">
        <v>266</v>
      </c>
      <c r="N4" s="26" t="s">
        <v>221</v>
      </c>
      <c r="O4" s="25" t="s">
        <v>179</v>
      </c>
      <c r="P4" s="27" t="s">
        <v>343</v>
      </c>
      <c r="Q4" s="21" t="s">
        <v>271</v>
      </c>
      <c r="R4" s="21" t="s">
        <v>306</v>
      </c>
      <c r="S4" s="21" t="s">
        <v>344</v>
      </c>
      <c r="T4" s="26"/>
      <c r="U4" s="20"/>
      <c r="V4" s="28"/>
    </row>
    <row r="5" spans="1:22" s="35" customFormat="1" ht="15" collapsed="1" x14ac:dyDescent="0.25">
      <c r="A5" s="4" t="s">
        <v>255</v>
      </c>
      <c r="B5" s="1" t="s">
        <v>180</v>
      </c>
      <c r="C5" s="1" t="s">
        <v>181</v>
      </c>
      <c r="D5" s="32"/>
      <c r="E5" s="29" t="e">
        <f>+G5-F5</f>
        <v>#REF!</v>
      </c>
      <c r="F5" s="29" t="e">
        <f>+#REF!</f>
        <v>#REF!</v>
      </c>
      <c r="G5" s="29">
        <v>80951.16</v>
      </c>
      <c r="H5" s="33">
        <f t="shared" ref="H5:H14" si="0">+G5</f>
        <v>80951.16</v>
      </c>
      <c r="I5" s="34"/>
      <c r="J5" s="34"/>
      <c r="K5" s="34"/>
      <c r="L5" s="34"/>
      <c r="M5" s="34"/>
      <c r="N5" s="34"/>
      <c r="O5" s="34"/>
      <c r="P5" s="34"/>
      <c r="Q5" s="193">
        <v>85000</v>
      </c>
      <c r="R5" s="6">
        <v>0</v>
      </c>
      <c r="S5" s="6">
        <v>0</v>
      </c>
      <c r="T5" s="2" t="e">
        <f t="shared" ref="T5:T12" si="1">Q5+R5+S5-F5</f>
        <v>#REF!</v>
      </c>
      <c r="U5" s="6"/>
      <c r="V5" s="6">
        <f t="shared" ref="V5:V14" si="2">(Q5+R5+S5)-(H5)</f>
        <v>4048.8399999999965</v>
      </c>
    </row>
    <row r="6" spans="1:22" s="35" customFormat="1" ht="15" collapsed="1" x14ac:dyDescent="0.25">
      <c r="A6" s="4" t="s">
        <v>255</v>
      </c>
      <c r="B6" s="1" t="s">
        <v>182</v>
      </c>
      <c r="C6" s="1" t="s">
        <v>183</v>
      </c>
      <c r="D6" s="32"/>
      <c r="E6" s="30" t="e">
        <f t="shared" ref="E6:E14" si="3">+G6-F6</f>
        <v>#REF!</v>
      </c>
      <c r="F6" s="29" t="e">
        <f>+#REF!</f>
        <v>#REF!</v>
      </c>
      <c r="G6" s="29">
        <v>294.8</v>
      </c>
      <c r="H6" s="33">
        <f t="shared" si="0"/>
        <v>294.8</v>
      </c>
      <c r="I6" s="34"/>
      <c r="J6" s="34"/>
      <c r="K6" s="34"/>
      <c r="L6" s="34"/>
      <c r="M6" s="34"/>
      <c r="N6" s="34"/>
      <c r="O6" s="34"/>
      <c r="P6" s="34"/>
      <c r="Q6" s="193">
        <v>1000</v>
      </c>
      <c r="R6" s="6">
        <v>0</v>
      </c>
      <c r="S6" s="6">
        <v>0</v>
      </c>
      <c r="T6" s="2" t="e">
        <f t="shared" si="1"/>
        <v>#REF!</v>
      </c>
      <c r="U6" s="6"/>
      <c r="V6" s="6">
        <f t="shared" si="2"/>
        <v>705.2</v>
      </c>
    </row>
    <row r="7" spans="1:22" s="31" customFormat="1" ht="13.5" customHeight="1" x14ac:dyDescent="0.25">
      <c r="A7" s="4" t="s">
        <v>255</v>
      </c>
      <c r="B7" s="4" t="s">
        <v>184</v>
      </c>
      <c r="C7" s="4" t="s">
        <v>185</v>
      </c>
      <c r="D7" s="29"/>
      <c r="E7" s="29" t="e">
        <f t="shared" si="3"/>
        <v>#REF!</v>
      </c>
      <c r="F7" s="29" t="e">
        <f>+#REF!</f>
        <v>#REF!</v>
      </c>
      <c r="G7" s="29">
        <v>865.34</v>
      </c>
      <c r="H7" s="30">
        <f t="shared" si="0"/>
        <v>865.34</v>
      </c>
      <c r="I7" s="29"/>
      <c r="J7" s="29"/>
      <c r="K7" s="29"/>
      <c r="L7" s="29"/>
      <c r="M7" s="29"/>
      <c r="N7" s="29"/>
      <c r="O7" s="29"/>
      <c r="P7" s="29"/>
      <c r="Q7" s="193">
        <v>0</v>
      </c>
      <c r="R7" s="4">
        <v>0</v>
      </c>
      <c r="S7" s="4">
        <v>0</v>
      </c>
      <c r="T7" s="2" t="e">
        <f t="shared" si="1"/>
        <v>#REF!</v>
      </c>
      <c r="U7" s="4"/>
      <c r="V7" s="6">
        <f t="shared" si="2"/>
        <v>-865.34</v>
      </c>
    </row>
    <row r="8" spans="1:22" s="35" customFormat="1" ht="15" collapsed="1" x14ac:dyDescent="0.25">
      <c r="A8" s="4" t="s">
        <v>255</v>
      </c>
      <c r="B8" s="1" t="s">
        <v>186</v>
      </c>
      <c r="C8" s="1" t="s">
        <v>187</v>
      </c>
      <c r="D8" s="32"/>
      <c r="E8" s="29" t="e">
        <f t="shared" si="3"/>
        <v>#REF!</v>
      </c>
      <c r="F8" s="29" t="e">
        <f>+#REF!</f>
        <v>#REF!</v>
      </c>
      <c r="G8" s="29">
        <v>9008.6200000000008</v>
      </c>
      <c r="H8" s="33">
        <f t="shared" si="0"/>
        <v>9008.6200000000008</v>
      </c>
      <c r="I8" s="34"/>
      <c r="J8" s="34"/>
      <c r="K8" s="34"/>
      <c r="L8" s="34"/>
      <c r="M8" s="34"/>
      <c r="N8" s="34"/>
      <c r="O8" s="34"/>
      <c r="P8" s="34"/>
      <c r="Q8" s="194">
        <f>23000-14000</f>
        <v>9000</v>
      </c>
      <c r="R8" s="194">
        <v>25000</v>
      </c>
      <c r="S8" s="6">
        <v>0</v>
      </c>
      <c r="T8" s="2" t="e">
        <f t="shared" si="1"/>
        <v>#REF!</v>
      </c>
      <c r="U8" s="6" t="s">
        <v>396</v>
      </c>
      <c r="V8" s="6">
        <f t="shared" si="2"/>
        <v>24991.379999999997</v>
      </c>
    </row>
    <row r="9" spans="1:22" s="35" customFormat="1" ht="15" collapsed="1" x14ac:dyDescent="0.25">
      <c r="A9" s="4" t="s">
        <v>255</v>
      </c>
      <c r="B9" s="1" t="s">
        <v>188</v>
      </c>
      <c r="C9" s="1" t="s">
        <v>189</v>
      </c>
      <c r="D9" s="32"/>
      <c r="E9" s="29" t="e">
        <f t="shared" si="3"/>
        <v>#REF!</v>
      </c>
      <c r="F9" s="29" t="e">
        <f>+#REF!</f>
        <v>#REF!</v>
      </c>
      <c r="G9" s="29">
        <v>510.59</v>
      </c>
      <c r="H9" s="33">
        <f t="shared" si="0"/>
        <v>510.59</v>
      </c>
      <c r="I9" s="34"/>
      <c r="J9" s="34"/>
      <c r="K9" s="34"/>
      <c r="L9" s="34"/>
      <c r="M9" s="34"/>
      <c r="N9" s="34"/>
      <c r="O9" s="34"/>
      <c r="P9" s="34"/>
      <c r="Q9" s="193">
        <v>1000</v>
      </c>
      <c r="R9" s="6">
        <v>0</v>
      </c>
      <c r="S9" s="6">
        <v>0</v>
      </c>
      <c r="T9" s="2" t="e">
        <f t="shared" si="1"/>
        <v>#REF!</v>
      </c>
      <c r="U9" s="6"/>
      <c r="V9" s="6">
        <f t="shared" si="2"/>
        <v>489.41</v>
      </c>
    </row>
    <row r="10" spans="1:22" s="31" customFormat="1" ht="15" x14ac:dyDescent="0.25">
      <c r="A10" s="4" t="s">
        <v>255</v>
      </c>
      <c r="B10" s="4" t="s">
        <v>190</v>
      </c>
      <c r="C10" s="4" t="s">
        <v>191</v>
      </c>
      <c r="D10" s="29"/>
      <c r="E10" s="29" t="e">
        <f t="shared" si="3"/>
        <v>#REF!</v>
      </c>
      <c r="F10" s="29" t="e">
        <f>+#REF!</f>
        <v>#REF!</v>
      </c>
      <c r="G10" s="29">
        <v>10000</v>
      </c>
      <c r="H10" s="33">
        <f t="shared" si="0"/>
        <v>10000</v>
      </c>
      <c r="I10" s="29"/>
      <c r="J10" s="29"/>
      <c r="K10" s="29"/>
      <c r="L10" s="29"/>
      <c r="M10" s="29"/>
      <c r="N10" s="29"/>
      <c r="O10" s="29"/>
      <c r="P10" s="29"/>
      <c r="Q10" s="193">
        <v>10000</v>
      </c>
      <c r="R10" s="6">
        <v>0</v>
      </c>
      <c r="S10" s="6">
        <v>0</v>
      </c>
      <c r="T10" s="2" t="e">
        <f t="shared" si="1"/>
        <v>#REF!</v>
      </c>
      <c r="U10" s="4"/>
      <c r="V10" s="6">
        <f t="shared" si="2"/>
        <v>0</v>
      </c>
    </row>
    <row r="11" spans="1:22" s="31" customFormat="1" ht="15" x14ac:dyDescent="0.25">
      <c r="A11" s="4" t="s">
        <v>255</v>
      </c>
      <c r="B11" s="36" t="s">
        <v>192</v>
      </c>
      <c r="C11" s="4" t="s">
        <v>193</v>
      </c>
      <c r="D11" s="29"/>
      <c r="E11" s="29" t="e">
        <f t="shared" si="3"/>
        <v>#REF!</v>
      </c>
      <c r="F11" s="29" t="e">
        <f>+#REF!</f>
        <v>#REF!</v>
      </c>
      <c r="G11" s="29">
        <v>2300</v>
      </c>
      <c r="H11" s="30">
        <f t="shared" si="0"/>
        <v>2300</v>
      </c>
      <c r="I11" s="37"/>
      <c r="J11" s="29"/>
      <c r="K11" s="38"/>
      <c r="L11" s="29"/>
      <c r="M11" s="29"/>
      <c r="N11" s="29"/>
      <c r="O11" s="29"/>
      <c r="P11" s="29"/>
      <c r="Q11" s="193">
        <v>0</v>
      </c>
      <c r="R11" s="6">
        <v>0</v>
      </c>
      <c r="S11" s="6">
        <v>0</v>
      </c>
      <c r="T11" s="2" t="e">
        <f t="shared" si="1"/>
        <v>#REF!</v>
      </c>
      <c r="U11" s="4" t="s">
        <v>273</v>
      </c>
      <c r="V11" s="6">
        <f t="shared" si="2"/>
        <v>-2300</v>
      </c>
    </row>
    <row r="12" spans="1:22" s="31" customFormat="1" ht="15" x14ac:dyDescent="0.25">
      <c r="A12" s="39" t="s">
        <v>255</v>
      </c>
      <c r="B12" s="36" t="s">
        <v>321</v>
      </c>
      <c r="C12" s="4" t="s">
        <v>301</v>
      </c>
      <c r="D12" s="40"/>
      <c r="E12" s="40" t="e">
        <f t="shared" si="3"/>
        <v>#REF!</v>
      </c>
      <c r="F12" s="40" t="e">
        <f>+#REF!</f>
        <v>#REF!</v>
      </c>
      <c r="G12" s="40">
        <v>3955.02</v>
      </c>
      <c r="H12" s="41">
        <f t="shared" si="0"/>
        <v>3955.02</v>
      </c>
      <c r="I12" s="42"/>
      <c r="J12" s="40"/>
      <c r="K12" s="43"/>
      <c r="L12" s="40"/>
      <c r="M12" s="29"/>
      <c r="N12" s="29"/>
      <c r="O12" s="29"/>
      <c r="P12" s="29"/>
      <c r="Q12" s="193">
        <v>4000</v>
      </c>
      <c r="R12" s="6">
        <v>0</v>
      </c>
      <c r="S12" s="6">
        <v>0</v>
      </c>
      <c r="T12" s="2" t="e">
        <f t="shared" si="1"/>
        <v>#REF!</v>
      </c>
      <c r="U12" s="5"/>
      <c r="V12" s="6">
        <f t="shared" si="2"/>
        <v>44.980000000000018</v>
      </c>
    </row>
    <row r="13" spans="1:22" s="31" customFormat="1" ht="15" x14ac:dyDescent="0.25">
      <c r="A13" s="44"/>
      <c r="B13" s="45" t="s">
        <v>379</v>
      </c>
      <c r="C13" s="7" t="s">
        <v>380</v>
      </c>
      <c r="D13" s="40"/>
      <c r="E13" s="40">
        <f t="shared" ref="E13" si="4">+G13-F13</f>
        <v>0</v>
      </c>
      <c r="F13" s="40">
        <v>0</v>
      </c>
      <c r="G13" s="40">
        <v>0</v>
      </c>
      <c r="H13" s="41">
        <f t="shared" ref="H13" si="5">+G13</f>
        <v>0</v>
      </c>
      <c r="I13" s="42"/>
      <c r="J13" s="40"/>
      <c r="K13" s="43"/>
      <c r="L13" s="40"/>
      <c r="M13" s="37"/>
      <c r="N13" s="29"/>
      <c r="O13" s="29"/>
      <c r="P13" s="29"/>
      <c r="Q13" s="193">
        <v>0</v>
      </c>
      <c r="R13" s="6"/>
      <c r="S13" s="6"/>
      <c r="T13" s="2"/>
      <c r="U13" s="5" t="s">
        <v>382</v>
      </c>
      <c r="V13" s="6">
        <f t="shared" si="2"/>
        <v>0</v>
      </c>
    </row>
    <row r="14" spans="1:22" s="31" customFormat="1" ht="15.75" thickBot="1" x14ac:dyDescent="0.3">
      <c r="A14" s="44"/>
      <c r="B14" s="45" t="s">
        <v>345</v>
      </c>
      <c r="C14" s="7" t="s">
        <v>346</v>
      </c>
      <c r="D14" s="40"/>
      <c r="E14" s="40">
        <f t="shared" si="3"/>
        <v>0</v>
      </c>
      <c r="F14" s="40">
        <v>0</v>
      </c>
      <c r="G14" s="40">
        <v>0</v>
      </c>
      <c r="H14" s="41">
        <f t="shared" si="0"/>
        <v>0</v>
      </c>
      <c r="I14" s="42"/>
      <c r="J14" s="40"/>
      <c r="K14" s="43"/>
      <c r="L14" s="40"/>
      <c r="M14" s="37"/>
      <c r="N14" s="29"/>
      <c r="O14" s="29"/>
      <c r="P14" s="29"/>
      <c r="Q14" s="193">
        <v>0</v>
      </c>
      <c r="R14" s="6">
        <v>0</v>
      </c>
      <c r="S14" s="6">
        <v>0</v>
      </c>
      <c r="T14" s="2">
        <v>0</v>
      </c>
      <c r="U14" s="5" t="s">
        <v>347</v>
      </c>
      <c r="V14" s="6">
        <f t="shared" si="2"/>
        <v>0</v>
      </c>
    </row>
    <row r="15" spans="1:22" s="31" customFormat="1" ht="15.75" thickBot="1" x14ac:dyDescent="0.3">
      <c r="A15" s="44"/>
      <c r="B15" s="46"/>
      <c r="C15" s="47" t="s">
        <v>194</v>
      </c>
      <c r="D15" s="48"/>
      <c r="E15" s="49" t="e">
        <f>SUM(E5:E14)</f>
        <v>#REF!</v>
      </c>
      <c r="F15" s="49" t="e">
        <f>SUM(F5:F14)</f>
        <v>#REF!</v>
      </c>
      <c r="G15" s="49">
        <f>SUM(G5:G14)</f>
        <v>107885.53</v>
      </c>
      <c r="H15" s="50">
        <f>SUM(H5:H14)</f>
        <v>107885.53</v>
      </c>
      <c r="I15" s="37"/>
      <c r="J15" s="29"/>
      <c r="K15" s="38"/>
      <c r="L15" s="29"/>
      <c r="M15" s="37"/>
      <c r="N15" s="29"/>
      <c r="O15" s="29"/>
      <c r="P15" s="29"/>
      <c r="Q15" s="51">
        <f>SUM(Q5:Q14)</f>
        <v>110000</v>
      </c>
      <c r="R15" s="51">
        <f>SUM(R5:R14)</f>
        <v>25000</v>
      </c>
      <c r="S15" s="51">
        <f>SUM(S5:S14)</f>
        <v>0</v>
      </c>
      <c r="T15" s="51" t="e">
        <f>SUM(T5:T14)</f>
        <v>#REF!</v>
      </c>
      <c r="U15" s="4"/>
      <c r="V15" s="51">
        <f>SUM(V5:V14)</f>
        <v>27114.469999999994</v>
      </c>
    </row>
    <row r="16" spans="1:22" s="31" customFormat="1" ht="15" x14ac:dyDescent="0.25">
      <c r="A16" s="39"/>
      <c r="B16" s="52"/>
      <c r="C16" s="53"/>
      <c r="D16" s="54"/>
      <c r="E16" s="54"/>
      <c r="F16" s="54"/>
      <c r="G16" s="54"/>
      <c r="H16" s="55"/>
      <c r="I16" s="29"/>
      <c r="J16" s="29"/>
      <c r="K16" s="38"/>
      <c r="L16" s="29"/>
      <c r="M16" s="37"/>
      <c r="N16" s="29"/>
      <c r="O16" s="29"/>
      <c r="P16" s="29"/>
      <c r="Q16" s="4"/>
      <c r="R16" s="4"/>
      <c r="S16" s="4"/>
      <c r="T16" s="4"/>
      <c r="U16" s="4"/>
      <c r="V16" s="56"/>
    </row>
    <row r="17" spans="1:24" s="31" customFormat="1" ht="15" x14ac:dyDescent="0.25">
      <c r="A17" s="39"/>
      <c r="B17" s="36"/>
      <c r="C17" s="26"/>
      <c r="D17" s="29"/>
      <c r="E17" s="29"/>
      <c r="F17" s="29"/>
      <c r="G17" s="29"/>
      <c r="H17" s="57"/>
      <c r="I17" s="29"/>
      <c r="J17" s="29"/>
      <c r="K17" s="38"/>
      <c r="L17" s="29"/>
      <c r="M17" s="37"/>
      <c r="N17" s="29"/>
      <c r="O17" s="29"/>
      <c r="P17" s="29"/>
      <c r="Q17" s="4"/>
      <c r="R17" s="4"/>
      <c r="S17" s="4"/>
      <c r="T17" s="4"/>
      <c r="U17" s="4"/>
      <c r="V17" s="56"/>
    </row>
    <row r="18" spans="1:24" s="31" customFormat="1" ht="14.25" customHeight="1" thickBot="1" x14ac:dyDescent="0.3">
      <c r="A18" s="58" t="s">
        <v>163</v>
      </c>
      <c r="B18" s="45" t="s">
        <v>398</v>
      </c>
      <c r="C18" s="7" t="s">
        <v>397</v>
      </c>
      <c r="D18" s="40"/>
      <c r="E18" s="40" t="e">
        <f t="shared" ref="E18" si="6">+G18-F18</f>
        <v>#REF!</v>
      </c>
      <c r="F18" s="40" t="e">
        <f>+#REF!</f>
        <v>#REF!</v>
      </c>
      <c r="G18" s="60">
        <v>94115.72</v>
      </c>
      <c r="H18" s="40"/>
      <c r="I18" s="40">
        <f>+G18</f>
        <v>94115.72</v>
      </c>
      <c r="J18" s="29"/>
      <c r="K18" s="38"/>
      <c r="L18" s="29"/>
      <c r="M18" s="37"/>
      <c r="N18" s="29"/>
      <c r="O18" s="29"/>
      <c r="P18" s="29"/>
      <c r="Q18" s="193">
        <v>93000</v>
      </c>
      <c r="R18" s="6">
        <v>0</v>
      </c>
      <c r="S18" s="6">
        <v>0</v>
      </c>
      <c r="T18" s="2" t="e">
        <f t="shared" ref="T18" si="7">Q18+R18+S18-F18</f>
        <v>#REF!</v>
      </c>
      <c r="U18" s="4" t="s">
        <v>381</v>
      </c>
      <c r="V18" s="6">
        <f>(Q18+R18+S18)-(I18)</f>
        <v>-1115.7200000000012</v>
      </c>
      <c r="W18" s="59"/>
    </row>
    <row r="19" spans="1:24" s="31" customFormat="1" ht="14.25" customHeight="1" thickBot="1" x14ac:dyDescent="0.3">
      <c r="A19" s="39"/>
      <c r="B19" s="46"/>
      <c r="C19" s="47" t="s">
        <v>195</v>
      </c>
      <c r="D19" s="48"/>
      <c r="E19" s="49" t="e">
        <f>SUM(E18:E18)</f>
        <v>#REF!</v>
      </c>
      <c r="F19" s="49" t="e">
        <f>SUM(F18:F18)</f>
        <v>#REF!</v>
      </c>
      <c r="G19" s="49">
        <f>SUM(G18:G18)</f>
        <v>94115.72</v>
      </c>
      <c r="H19" s="49">
        <f>SUM(H18:H18)</f>
        <v>0</v>
      </c>
      <c r="I19" s="50">
        <f>SUM(I18)</f>
        <v>94115.72</v>
      </c>
      <c r="J19" s="37"/>
      <c r="K19" s="38"/>
      <c r="L19" s="29"/>
      <c r="M19" s="37"/>
      <c r="N19" s="29"/>
      <c r="O19" s="29"/>
      <c r="P19" s="29"/>
      <c r="Q19" s="51">
        <f>SUM(Q18:Q18)</f>
        <v>93000</v>
      </c>
      <c r="R19" s="51">
        <f>SUM(R18:R18)</f>
        <v>0</v>
      </c>
      <c r="S19" s="51">
        <f>SUM(S18:S18)</f>
        <v>0</v>
      </c>
      <c r="T19" s="51" t="e">
        <f>SUM(T18:T18)</f>
        <v>#REF!</v>
      </c>
      <c r="U19" s="4"/>
      <c r="V19" s="51">
        <f>SUM(V18:V18)</f>
        <v>-1115.7200000000012</v>
      </c>
    </row>
    <row r="20" spans="1:24" s="31" customFormat="1" ht="14.25" customHeight="1" x14ac:dyDescent="0.25">
      <c r="A20" s="39"/>
      <c r="B20" s="52"/>
      <c r="C20" s="53"/>
      <c r="D20" s="54"/>
      <c r="E20" s="54"/>
      <c r="F20" s="54"/>
      <c r="G20" s="54"/>
      <c r="H20" s="54"/>
      <c r="I20" s="61"/>
      <c r="J20" s="29"/>
      <c r="K20" s="38"/>
      <c r="L20" s="29"/>
      <c r="M20" s="37"/>
      <c r="N20" s="29"/>
      <c r="O20" s="29"/>
      <c r="P20" s="29"/>
      <c r="Q20" s="4"/>
      <c r="R20" s="4"/>
      <c r="S20" s="4"/>
      <c r="T20" s="4"/>
      <c r="U20" s="4"/>
      <c r="V20" s="6"/>
    </row>
    <row r="21" spans="1:24" s="31" customFormat="1" ht="14.25" customHeight="1" x14ac:dyDescent="0.25">
      <c r="A21" s="39"/>
      <c r="B21" s="36"/>
      <c r="C21" s="26"/>
      <c r="D21" s="29"/>
      <c r="E21" s="29"/>
      <c r="F21" s="29"/>
      <c r="G21" s="29"/>
      <c r="H21" s="29"/>
      <c r="I21" s="62"/>
      <c r="J21" s="29"/>
      <c r="K21" s="38"/>
      <c r="L21" s="29"/>
      <c r="M21" s="37"/>
      <c r="N21" s="29"/>
      <c r="O21" s="29"/>
      <c r="P21" s="29"/>
      <c r="Q21" s="4"/>
      <c r="R21" s="4"/>
      <c r="S21" s="4"/>
      <c r="T21" s="4"/>
      <c r="U21" s="4"/>
      <c r="V21" s="6"/>
    </row>
    <row r="22" spans="1:24" s="31" customFormat="1" ht="14.25" customHeight="1" x14ac:dyDescent="0.25">
      <c r="A22" s="44" t="s">
        <v>258</v>
      </c>
      <c r="B22" s="36" t="s">
        <v>304</v>
      </c>
      <c r="C22" s="4" t="s">
        <v>196</v>
      </c>
      <c r="D22" s="29"/>
      <c r="E22" s="57" t="e">
        <f t="shared" ref="E22" si="8">+G22-F22</f>
        <v>#REF!</v>
      </c>
      <c r="F22" s="57" t="e">
        <f>+#REF!</f>
        <v>#REF!</v>
      </c>
      <c r="G22" s="63">
        <v>171588.76</v>
      </c>
      <c r="H22" s="57">
        <v>0</v>
      </c>
      <c r="I22" s="57">
        <v>0</v>
      </c>
      <c r="J22" s="57">
        <v>0</v>
      </c>
      <c r="K22" s="57">
        <v>0</v>
      </c>
      <c r="L22" s="57">
        <f>+G22</f>
        <v>171588.76</v>
      </c>
      <c r="M22" s="37"/>
      <c r="N22" s="29"/>
      <c r="O22" s="29"/>
      <c r="P22" s="29"/>
      <c r="Q22" s="193">
        <v>172000</v>
      </c>
      <c r="R22" s="6">
        <v>0</v>
      </c>
      <c r="S22" s="6">
        <v>0</v>
      </c>
      <c r="T22" s="2" t="e">
        <f t="shared" ref="T22" si="9">Q22+R22+S22-F22</f>
        <v>#REF!</v>
      </c>
      <c r="U22" s="4"/>
      <c r="V22" s="6">
        <f>(Q22+R22+S22)-(L22)</f>
        <v>411.23999999999069</v>
      </c>
    </row>
    <row r="23" spans="1:24" s="31" customFormat="1" ht="14.25" customHeight="1" thickBot="1" x14ac:dyDescent="0.3">
      <c r="A23" s="44"/>
      <c r="B23" s="45"/>
      <c r="C23" s="7"/>
      <c r="D23" s="40"/>
      <c r="E23" s="40"/>
      <c r="F23" s="40"/>
      <c r="G23" s="40"/>
      <c r="H23" s="40"/>
      <c r="I23" s="64"/>
      <c r="J23" s="40"/>
      <c r="K23" s="43"/>
      <c r="L23" s="43"/>
      <c r="M23" s="65"/>
      <c r="N23" s="29"/>
      <c r="O23" s="29"/>
      <c r="P23" s="29"/>
      <c r="Q23" s="66">
        <f>Q22</f>
        <v>172000</v>
      </c>
      <c r="R23" s="66">
        <f t="shared" ref="R23:T23" si="10">R22</f>
        <v>0</v>
      </c>
      <c r="S23" s="66">
        <f t="shared" si="10"/>
        <v>0</v>
      </c>
      <c r="T23" s="66" t="e">
        <f t="shared" si="10"/>
        <v>#REF!</v>
      </c>
      <c r="U23" s="4"/>
      <c r="V23" s="66">
        <f t="shared" ref="V23" si="11">V22</f>
        <v>411.23999999999069</v>
      </c>
    </row>
    <row r="24" spans="1:24" s="13" customFormat="1" ht="18.75" customHeight="1" thickBot="1" x14ac:dyDescent="0.3">
      <c r="A24" s="67"/>
      <c r="B24" s="68"/>
      <c r="C24" s="69" t="s">
        <v>197</v>
      </c>
      <c r="D24" s="70"/>
      <c r="E24" s="49" t="e">
        <f>+E22+E19+E15</f>
        <v>#REF!</v>
      </c>
      <c r="F24" s="49" t="e">
        <f>+F22+F19+F15</f>
        <v>#REF!</v>
      </c>
      <c r="G24" s="49">
        <f>+G22+G19+G15</f>
        <v>373590.01</v>
      </c>
      <c r="H24" s="49">
        <f>H15</f>
        <v>107885.53</v>
      </c>
      <c r="I24" s="49">
        <f>I19</f>
        <v>94115.72</v>
      </c>
      <c r="J24" s="49">
        <f t="shared" ref="J24:K24" si="12">J19</f>
        <v>0</v>
      </c>
      <c r="K24" s="49">
        <f t="shared" si="12"/>
        <v>0</v>
      </c>
      <c r="L24" s="50">
        <f>L22</f>
        <v>171588.76</v>
      </c>
      <c r="M24" s="71"/>
      <c r="N24" s="72"/>
      <c r="O24" s="73"/>
      <c r="P24" s="73"/>
      <c r="Q24" s="206">
        <f>Q15+Q19+Q23</f>
        <v>375000</v>
      </c>
      <c r="R24" s="206">
        <f>R15+R19+R23</f>
        <v>25000</v>
      </c>
      <c r="S24" s="74">
        <f>S15+S19+S23</f>
        <v>0</v>
      </c>
      <c r="T24" s="74" t="e">
        <f>T15+T19+T23</f>
        <v>#REF!</v>
      </c>
      <c r="U24" s="26"/>
      <c r="V24" s="75">
        <f>V15+V19+V23</f>
        <v>26409.989999999983</v>
      </c>
      <c r="W24" s="76"/>
      <c r="X24" s="76"/>
    </row>
    <row r="25" spans="1:24" s="13" customFormat="1" ht="18.75" customHeight="1" x14ac:dyDescent="0.25">
      <c r="A25" s="20"/>
      <c r="B25" s="77"/>
      <c r="C25" s="53"/>
      <c r="D25" s="78"/>
      <c r="E25" s="55"/>
      <c r="F25" s="55"/>
      <c r="G25" s="55"/>
      <c r="H25" s="55"/>
      <c r="I25" s="55"/>
      <c r="J25" s="55"/>
      <c r="K25" s="55"/>
      <c r="L25" s="55"/>
      <c r="M25" s="57"/>
      <c r="N25" s="72"/>
      <c r="O25" s="73"/>
      <c r="P25" s="73"/>
      <c r="Q25" s="79"/>
      <c r="R25" s="79"/>
      <c r="S25" s="79"/>
      <c r="T25" s="79"/>
      <c r="U25" s="26"/>
      <c r="V25" s="9"/>
      <c r="W25" s="76"/>
      <c r="X25" s="76"/>
    </row>
    <row r="26" spans="1:24" s="13" customFormat="1" ht="15" customHeight="1" x14ac:dyDescent="0.25">
      <c r="A26" s="20"/>
      <c r="B26" s="20"/>
      <c r="C26" s="20"/>
      <c r="D26" s="73"/>
      <c r="E26" s="73"/>
      <c r="F26" s="73"/>
      <c r="G26" s="73"/>
      <c r="H26" s="80"/>
      <c r="I26" s="73"/>
      <c r="J26" s="73"/>
      <c r="K26" s="73"/>
      <c r="L26" s="73"/>
      <c r="M26" s="73"/>
      <c r="N26" s="73"/>
      <c r="O26" s="73"/>
      <c r="P26" s="73"/>
      <c r="Q26" s="217" t="s">
        <v>268</v>
      </c>
      <c r="R26" s="217"/>
      <c r="S26" s="217"/>
      <c r="T26" s="21" t="s">
        <v>279</v>
      </c>
      <c r="U26" s="26"/>
      <c r="V26" s="6"/>
      <c r="W26" s="81"/>
      <c r="X26" s="81"/>
    </row>
    <row r="27" spans="1:24" s="13" customFormat="1" ht="30" x14ac:dyDescent="0.25">
      <c r="A27" s="20"/>
      <c r="B27" s="20"/>
      <c r="C27" s="26" t="s">
        <v>198</v>
      </c>
      <c r="D27" s="82"/>
      <c r="E27" s="80" t="s">
        <v>342</v>
      </c>
      <c r="F27" s="80" t="s">
        <v>342</v>
      </c>
      <c r="G27" s="80" t="s">
        <v>342</v>
      </c>
      <c r="H27" s="80" t="s">
        <v>27</v>
      </c>
      <c r="I27" s="80" t="s">
        <v>31</v>
      </c>
      <c r="J27" s="82" t="s">
        <v>220</v>
      </c>
      <c r="K27" s="82" t="s">
        <v>280</v>
      </c>
      <c r="L27" s="80" t="s">
        <v>265</v>
      </c>
      <c r="M27" s="80" t="s">
        <v>266</v>
      </c>
      <c r="N27" s="82" t="s">
        <v>221</v>
      </c>
      <c r="O27" s="80" t="s">
        <v>179</v>
      </c>
      <c r="P27" s="83" t="s">
        <v>343</v>
      </c>
      <c r="Q27" s="21" t="s">
        <v>271</v>
      </c>
      <c r="R27" s="21" t="s">
        <v>306</v>
      </c>
      <c r="S27" s="21" t="s">
        <v>344</v>
      </c>
      <c r="T27" s="26"/>
      <c r="U27" s="20"/>
      <c r="V27" s="28"/>
    </row>
    <row r="28" spans="1:24" s="13" customFormat="1" ht="15" collapsed="1" x14ac:dyDescent="0.25">
      <c r="A28" s="20" t="s">
        <v>255</v>
      </c>
      <c r="B28" s="20" t="s">
        <v>199</v>
      </c>
      <c r="C28" s="3" t="s">
        <v>200</v>
      </c>
      <c r="D28" s="73"/>
      <c r="E28" s="29" t="e">
        <f t="shared" ref="E28:E39" si="13">+G28-F28</f>
        <v>#REF!</v>
      </c>
      <c r="F28" s="29" t="e">
        <f>+#REF!</f>
        <v>#REF!</v>
      </c>
      <c r="G28" s="73">
        <v>35000</v>
      </c>
      <c r="H28" s="84">
        <f>+G28</f>
        <v>35000</v>
      </c>
      <c r="I28" s="73"/>
      <c r="J28" s="73"/>
      <c r="K28" s="73"/>
      <c r="L28" s="73"/>
      <c r="M28" s="73"/>
      <c r="N28" s="73"/>
      <c r="O28" s="73"/>
      <c r="P28" s="73"/>
      <c r="Q28" s="193">
        <v>37000</v>
      </c>
      <c r="R28" s="193">
        <v>42000</v>
      </c>
      <c r="S28" s="6">
        <v>0</v>
      </c>
      <c r="T28" s="2" t="e">
        <f t="shared" ref="T28:T39" si="14">Q28+R28+S28-F28</f>
        <v>#REF!</v>
      </c>
      <c r="U28" s="85"/>
      <c r="V28" s="177">
        <f t="shared" ref="V28:V39" si="15">(Q28+R28+S28)-(H28)</f>
        <v>44000</v>
      </c>
    </row>
    <row r="29" spans="1:24" s="13" customFormat="1" ht="30" collapsed="1" x14ac:dyDescent="0.25">
      <c r="A29" s="20" t="s">
        <v>255</v>
      </c>
      <c r="B29" s="20" t="s">
        <v>201</v>
      </c>
      <c r="C29" s="3" t="s">
        <v>371</v>
      </c>
      <c r="D29" s="73"/>
      <c r="E29" s="29" t="e">
        <f t="shared" si="13"/>
        <v>#REF!</v>
      </c>
      <c r="F29" s="29" t="e">
        <f>+#REF!</f>
        <v>#REF!</v>
      </c>
      <c r="G29" s="29">
        <v>38656</v>
      </c>
      <c r="H29" s="33">
        <f t="shared" ref="H29:H39" si="16">+G29</f>
        <v>38656</v>
      </c>
      <c r="I29" s="73"/>
      <c r="J29" s="73"/>
      <c r="K29" s="73"/>
      <c r="L29" s="73"/>
      <c r="M29" s="73"/>
      <c r="N29" s="73"/>
      <c r="O29" s="73"/>
      <c r="P29" s="73"/>
      <c r="Q29" s="193">
        <f>39000-39000</f>
        <v>0</v>
      </c>
      <c r="R29" s="6">
        <v>0</v>
      </c>
      <c r="S29" s="6">
        <v>0</v>
      </c>
      <c r="T29" s="2" t="e">
        <f t="shared" si="14"/>
        <v>#REF!</v>
      </c>
      <c r="U29" s="20" t="s">
        <v>399</v>
      </c>
      <c r="V29" s="6">
        <f t="shared" si="15"/>
        <v>-38656</v>
      </c>
    </row>
    <row r="30" spans="1:24" s="13" customFormat="1" ht="30" collapsed="1" x14ac:dyDescent="0.25">
      <c r="A30" s="20" t="s">
        <v>255</v>
      </c>
      <c r="B30" s="20" t="s">
        <v>202</v>
      </c>
      <c r="C30" s="3" t="s">
        <v>203</v>
      </c>
      <c r="D30" s="73"/>
      <c r="E30" s="29" t="e">
        <f t="shared" si="13"/>
        <v>#REF!</v>
      </c>
      <c r="F30" s="29" t="e">
        <f>+#REF!</f>
        <v>#REF!</v>
      </c>
      <c r="G30" s="29">
        <v>2214.2699999999968</v>
      </c>
      <c r="H30" s="33">
        <f t="shared" si="16"/>
        <v>2214.2699999999968</v>
      </c>
      <c r="I30" s="73"/>
      <c r="J30" s="73"/>
      <c r="K30" s="73"/>
      <c r="L30" s="73"/>
      <c r="M30" s="73"/>
      <c r="N30" s="73"/>
      <c r="O30" s="73"/>
      <c r="P30" s="73"/>
      <c r="Q30" s="193">
        <v>2000</v>
      </c>
      <c r="R30" s="6">
        <v>0</v>
      </c>
      <c r="S30" s="6">
        <v>0</v>
      </c>
      <c r="T30" s="2" t="e">
        <f t="shared" si="14"/>
        <v>#REF!</v>
      </c>
      <c r="U30" s="85" t="s">
        <v>269</v>
      </c>
      <c r="V30" s="6">
        <f t="shared" si="15"/>
        <v>-214.2699999999968</v>
      </c>
    </row>
    <row r="31" spans="1:24" s="13" customFormat="1" ht="15" collapsed="1" x14ac:dyDescent="0.25">
      <c r="A31" s="20" t="s">
        <v>255</v>
      </c>
      <c r="B31" s="20" t="s">
        <v>204</v>
      </c>
      <c r="C31" s="3" t="s">
        <v>205</v>
      </c>
      <c r="D31" s="73"/>
      <c r="E31" s="29" t="e">
        <f t="shared" si="13"/>
        <v>#REF!</v>
      </c>
      <c r="F31" s="29" t="e">
        <f>+#REF!</f>
        <v>#REF!</v>
      </c>
      <c r="G31" s="73">
        <v>1813.9099999999999</v>
      </c>
      <c r="H31" s="84">
        <f t="shared" si="16"/>
        <v>1813.9099999999999</v>
      </c>
      <c r="I31" s="73"/>
      <c r="J31" s="73"/>
      <c r="K31" s="73"/>
      <c r="L31" s="73"/>
      <c r="M31" s="73"/>
      <c r="N31" s="73"/>
      <c r="O31" s="73"/>
      <c r="P31" s="73"/>
      <c r="Q31" s="193">
        <v>0</v>
      </c>
      <c r="R31" s="193">
        <v>2000</v>
      </c>
      <c r="S31" s="6">
        <v>0</v>
      </c>
      <c r="T31" s="2" t="e">
        <f t="shared" si="14"/>
        <v>#REF!</v>
      </c>
      <c r="U31" s="20" t="s">
        <v>372</v>
      </c>
      <c r="V31" s="6">
        <f t="shared" si="15"/>
        <v>186.09000000000015</v>
      </c>
    </row>
    <row r="32" spans="1:24" s="13" customFormat="1" ht="15" collapsed="1" x14ac:dyDescent="0.25">
      <c r="A32" s="20" t="s">
        <v>255</v>
      </c>
      <c r="B32" s="20" t="s">
        <v>206</v>
      </c>
      <c r="C32" s="86" t="s">
        <v>207</v>
      </c>
      <c r="D32" s="87"/>
      <c r="E32" s="29" t="e">
        <f t="shared" si="13"/>
        <v>#REF!</v>
      </c>
      <c r="F32" s="29" t="e">
        <f>+#REF!</f>
        <v>#REF!</v>
      </c>
      <c r="G32" s="73">
        <v>7362.75</v>
      </c>
      <c r="H32" s="88">
        <f t="shared" si="16"/>
        <v>7362.75</v>
      </c>
      <c r="I32" s="73"/>
      <c r="J32" s="73"/>
      <c r="K32" s="73"/>
      <c r="L32" s="73"/>
      <c r="M32" s="73"/>
      <c r="N32" s="73"/>
      <c r="O32" s="73"/>
      <c r="P32" s="73"/>
      <c r="Q32" s="193">
        <v>0</v>
      </c>
      <c r="R32" s="6">
        <v>0</v>
      </c>
      <c r="S32" s="6">
        <v>0</v>
      </c>
      <c r="T32" s="2" t="e">
        <f t="shared" si="14"/>
        <v>#REF!</v>
      </c>
      <c r="U32" s="20" t="s">
        <v>383</v>
      </c>
      <c r="V32" s="6">
        <f t="shared" si="15"/>
        <v>-7362.75</v>
      </c>
    </row>
    <row r="33" spans="1:22" s="13" customFormat="1" ht="15" x14ac:dyDescent="0.25">
      <c r="A33" s="20" t="s">
        <v>255</v>
      </c>
      <c r="B33" s="20" t="s">
        <v>400</v>
      </c>
      <c r="C33" s="86" t="s">
        <v>401</v>
      </c>
      <c r="D33" s="87"/>
      <c r="E33" s="29"/>
      <c r="F33" s="29"/>
      <c r="G33" s="73"/>
      <c r="H33" s="88"/>
      <c r="I33" s="73"/>
      <c r="J33" s="73"/>
      <c r="K33" s="73"/>
      <c r="L33" s="73"/>
      <c r="M33" s="73"/>
      <c r="N33" s="73"/>
      <c r="O33" s="73"/>
      <c r="P33" s="73"/>
      <c r="Q33" s="6">
        <v>0</v>
      </c>
      <c r="R33" s="184">
        <v>34000</v>
      </c>
      <c r="S33" s="6"/>
      <c r="T33" s="2">
        <f t="shared" si="14"/>
        <v>34000</v>
      </c>
      <c r="U33" s="196" t="s">
        <v>402</v>
      </c>
      <c r="V33" s="6"/>
    </row>
    <row r="34" spans="1:22" s="13" customFormat="1" ht="15" x14ac:dyDescent="0.25">
      <c r="A34" s="20" t="s">
        <v>255</v>
      </c>
      <c r="B34" s="20" t="s">
        <v>323</v>
      </c>
      <c r="C34" s="4" t="s">
        <v>209</v>
      </c>
      <c r="D34" s="29"/>
      <c r="E34" s="29" t="e">
        <f t="shared" si="13"/>
        <v>#REF!</v>
      </c>
      <c r="F34" s="29" t="e">
        <f>+#REF!</f>
        <v>#REF!</v>
      </c>
      <c r="G34" s="73">
        <v>10000</v>
      </c>
      <c r="H34" s="84">
        <f t="shared" si="16"/>
        <v>10000</v>
      </c>
      <c r="I34" s="89"/>
      <c r="J34" s="73"/>
      <c r="K34" s="73"/>
      <c r="L34" s="73"/>
      <c r="M34" s="73"/>
      <c r="N34" s="73"/>
      <c r="O34" s="73"/>
      <c r="P34" s="73"/>
      <c r="Q34" s="6">
        <v>0</v>
      </c>
      <c r="R34" s="193">
        <v>10000</v>
      </c>
      <c r="S34" s="6">
        <v>0</v>
      </c>
      <c r="T34" s="2" t="e">
        <f t="shared" si="14"/>
        <v>#REF!</v>
      </c>
      <c r="U34" s="20"/>
      <c r="V34" s="6">
        <f t="shared" si="15"/>
        <v>0</v>
      </c>
    </row>
    <row r="35" spans="1:22" s="13" customFormat="1" ht="15" x14ac:dyDescent="0.25">
      <c r="A35" s="20" t="s">
        <v>255</v>
      </c>
      <c r="B35" s="20" t="s">
        <v>324</v>
      </c>
      <c r="C35" s="4" t="s">
        <v>210</v>
      </c>
      <c r="D35" s="29"/>
      <c r="E35" s="29" t="e">
        <f t="shared" si="13"/>
        <v>#REF!</v>
      </c>
      <c r="F35" s="29" t="e">
        <f>+#REF!</f>
        <v>#REF!</v>
      </c>
      <c r="G35" s="73">
        <v>30000</v>
      </c>
      <c r="H35" s="84">
        <f t="shared" si="16"/>
        <v>30000</v>
      </c>
      <c r="I35" s="89"/>
      <c r="J35" s="73"/>
      <c r="K35" s="73"/>
      <c r="L35" s="73"/>
      <c r="M35" s="73"/>
      <c r="N35" s="73"/>
      <c r="O35" s="73"/>
      <c r="P35" s="73"/>
      <c r="Q35" s="6">
        <v>0</v>
      </c>
      <c r="R35" s="184">
        <v>50000</v>
      </c>
      <c r="S35" s="6">
        <v>0</v>
      </c>
      <c r="T35" s="2" t="e">
        <f t="shared" si="14"/>
        <v>#REF!</v>
      </c>
      <c r="U35" s="20"/>
      <c r="V35" s="6">
        <f t="shared" si="15"/>
        <v>20000</v>
      </c>
    </row>
    <row r="36" spans="1:22" s="13" customFormat="1" ht="15" x14ac:dyDescent="0.25">
      <c r="A36" s="20" t="s">
        <v>255</v>
      </c>
      <c r="B36" s="20" t="s">
        <v>348</v>
      </c>
      <c r="C36" s="4" t="s">
        <v>211</v>
      </c>
      <c r="D36" s="29"/>
      <c r="E36" s="29">
        <v>69000</v>
      </c>
      <c r="F36" s="29" t="e">
        <f>+#REF!</f>
        <v>#REF!</v>
      </c>
      <c r="G36" s="90">
        <v>69000</v>
      </c>
      <c r="H36" s="88">
        <f t="shared" si="16"/>
        <v>69000</v>
      </c>
      <c r="I36" s="89"/>
      <c r="J36" s="73"/>
      <c r="K36" s="73"/>
      <c r="L36" s="73"/>
      <c r="M36" s="73"/>
      <c r="N36" s="73"/>
      <c r="O36" s="73"/>
      <c r="P36" s="73"/>
      <c r="Q36" s="193">
        <v>15000</v>
      </c>
      <c r="R36" s="6">
        <v>0</v>
      </c>
      <c r="S36" s="6">
        <v>0</v>
      </c>
      <c r="T36" s="2" t="e">
        <f t="shared" si="14"/>
        <v>#REF!</v>
      </c>
      <c r="U36" s="20"/>
      <c r="V36" s="6">
        <f t="shared" si="15"/>
        <v>-54000</v>
      </c>
    </row>
    <row r="37" spans="1:22" s="13" customFormat="1" ht="15" x14ac:dyDescent="0.25">
      <c r="A37" s="20" t="s">
        <v>255</v>
      </c>
      <c r="B37" s="20" t="s">
        <v>322</v>
      </c>
      <c r="C37" s="5" t="s">
        <v>212</v>
      </c>
      <c r="D37" s="34"/>
      <c r="E37" s="29" t="e">
        <f t="shared" si="13"/>
        <v>#REF!</v>
      </c>
      <c r="F37" s="29" t="e">
        <f>+#REF!</f>
        <v>#REF!</v>
      </c>
      <c r="G37" s="73">
        <v>13780</v>
      </c>
      <c r="H37" s="84">
        <f t="shared" si="16"/>
        <v>13780</v>
      </c>
      <c r="I37" s="89"/>
      <c r="J37" s="73"/>
      <c r="K37" s="73"/>
      <c r="L37" s="73"/>
      <c r="M37" s="73"/>
      <c r="N37" s="73"/>
      <c r="O37" s="73"/>
      <c r="P37" s="73"/>
      <c r="Q37" s="193">
        <f>56000-42000</f>
        <v>14000</v>
      </c>
      <c r="R37" s="6">
        <v>0</v>
      </c>
      <c r="S37" s="6">
        <v>0</v>
      </c>
      <c r="T37" s="2" t="e">
        <f t="shared" si="14"/>
        <v>#REF!</v>
      </c>
      <c r="U37" s="181" t="s">
        <v>377</v>
      </c>
      <c r="V37" s="6">
        <f t="shared" si="15"/>
        <v>220</v>
      </c>
    </row>
    <row r="38" spans="1:22" s="13" customFormat="1" ht="15" x14ac:dyDescent="0.25">
      <c r="A38" s="20"/>
      <c r="B38" s="20" t="s">
        <v>208</v>
      </c>
      <c r="C38" s="5" t="s">
        <v>302</v>
      </c>
      <c r="D38" s="34"/>
      <c r="E38" s="29" t="e">
        <f t="shared" si="13"/>
        <v>#REF!</v>
      </c>
      <c r="F38" s="29" t="e">
        <f>+#REF!</f>
        <v>#REF!</v>
      </c>
      <c r="G38" s="73">
        <v>3600</v>
      </c>
      <c r="H38" s="88">
        <f t="shared" si="16"/>
        <v>3600</v>
      </c>
      <c r="I38" s="89"/>
      <c r="J38" s="73"/>
      <c r="K38" s="73"/>
      <c r="L38" s="73"/>
      <c r="M38" s="73"/>
      <c r="N38" s="73"/>
      <c r="O38" s="73"/>
      <c r="P38" s="73"/>
      <c r="Q38" s="193">
        <v>0</v>
      </c>
      <c r="R38" s="6">
        <v>0</v>
      </c>
      <c r="S38" s="6">
        <v>0</v>
      </c>
      <c r="T38" s="2" t="e">
        <f t="shared" si="14"/>
        <v>#REF!</v>
      </c>
      <c r="U38" s="20" t="s">
        <v>273</v>
      </c>
      <c r="V38" s="6">
        <f t="shared" si="15"/>
        <v>-3600</v>
      </c>
    </row>
    <row r="39" spans="1:22" s="13" customFormat="1" ht="15.75" thickBot="1" x14ac:dyDescent="0.3">
      <c r="A39" s="20"/>
      <c r="B39" s="20" t="s">
        <v>349</v>
      </c>
      <c r="C39" s="5" t="s">
        <v>303</v>
      </c>
      <c r="D39" s="34"/>
      <c r="E39" s="29" t="e">
        <f t="shared" si="13"/>
        <v>#REF!</v>
      </c>
      <c r="F39" s="29" t="e">
        <f>+#REF!</f>
        <v>#REF!</v>
      </c>
      <c r="G39" s="73">
        <v>10000</v>
      </c>
      <c r="H39" s="84">
        <f t="shared" si="16"/>
        <v>10000</v>
      </c>
      <c r="I39" s="89"/>
      <c r="J39" s="73"/>
      <c r="K39" s="73"/>
      <c r="L39" s="73"/>
      <c r="M39" s="73"/>
      <c r="N39" s="73"/>
      <c r="O39" s="73"/>
      <c r="P39" s="73"/>
      <c r="Q39" s="193">
        <f>40000-30000</f>
        <v>10000</v>
      </c>
      <c r="R39" s="6">
        <v>0</v>
      </c>
      <c r="S39" s="6">
        <v>0</v>
      </c>
      <c r="T39" s="2" t="e">
        <f t="shared" si="14"/>
        <v>#REF!</v>
      </c>
      <c r="U39" s="195" t="s">
        <v>376</v>
      </c>
      <c r="V39" s="6">
        <f t="shared" si="15"/>
        <v>0</v>
      </c>
    </row>
    <row r="40" spans="1:22" s="13" customFormat="1" ht="15.75" thickBot="1" x14ac:dyDescent="0.3">
      <c r="A40" s="39"/>
      <c r="B40" s="46"/>
      <c r="C40" s="47" t="s">
        <v>194</v>
      </c>
      <c r="D40" s="48"/>
      <c r="E40" s="49" t="e">
        <f>SUM(E28:E39)</f>
        <v>#REF!</v>
      </c>
      <c r="F40" s="49" t="e">
        <f>SUM(F28:F39)</f>
        <v>#REF!</v>
      </c>
      <c r="G40" s="49">
        <f>SUM(G28:G39)</f>
        <v>221426.93</v>
      </c>
      <c r="H40" s="91">
        <f>SUM(H28:H39)</f>
        <v>221426.93</v>
      </c>
      <c r="I40" s="92"/>
      <c r="J40" s="73"/>
      <c r="K40" s="73"/>
      <c r="L40" s="73"/>
      <c r="M40" s="73"/>
      <c r="N40" s="73"/>
      <c r="O40" s="73"/>
      <c r="P40" s="73"/>
      <c r="Q40" s="207">
        <f>SUM(Q28:Q39)</f>
        <v>78000</v>
      </c>
      <c r="R40" s="207">
        <f>SUM(R28:R39)</f>
        <v>138000</v>
      </c>
      <c r="S40" s="93">
        <f>SUM(S28:S39)</f>
        <v>0</v>
      </c>
      <c r="T40" s="93" t="e">
        <f>SUM(T28:T39)</f>
        <v>#REF!</v>
      </c>
      <c r="U40" s="20"/>
      <c r="V40" s="93">
        <f>SUM(V28:V39)</f>
        <v>-39426.929999999993</v>
      </c>
    </row>
    <row r="41" spans="1:22" s="13" customFormat="1" ht="15" x14ac:dyDescent="0.25">
      <c r="A41" s="4"/>
      <c r="B41" s="52"/>
      <c r="C41" s="53"/>
      <c r="D41" s="54"/>
      <c r="E41" s="54"/>
      <c r="F41" s="54"/>
      <c r="G41" s="54"/>
      <c r="H41" s="78"/>
      <c r="I41" s="89"/>
      <c r="J41" s="73"/>
      <c r="K41" s="73"/>
      <c r="L41" s="73"/>
      <c r="M41" s="73"/>
      <c r="N41" s="73"/>
      <c r="O41" s="73"/>
      <c r="P41" s="73"/>
      <c r="Q41" s="6"/>
      <c r="R41" s="6"/>
      <c r="S41" s="6"/>
      <c r="T41" s="6"/>
      <c r="U41" s="20"/>
      <c r="V41" s="28"/>
    </row>
    <row r="42" spans="1:22" s="13" customFormat="1" ht="45" x14ac:dyDescent="0.25">
      <c r="A42" s="20"/>
      <c r="B42" s="20"/>
      <c r="C42" s="26"/>
      <c r="D42" s="29"/>
      <c r="E42" s="29"/>
      <c r="F42" s="29"/>
      <c r="G42" s="29" t="s">
        <v>364</v>
      </c>
      <c r="H42" s="82"/>
      <c r="I42" s="89"/>
      <c r="J42" s="73"/>
      <c r="K42" s="73"/>
      <c r="L42" s="73"/>
      <c r="M42" s="73"/>
      <c r="N42" s="73"/>
      <c r="O42" s="73"/>
      <c r="P42" s="73"/>
      <c r="Q42" s="6"/>
      <c r="R42" s="6"/>
      <c r="S42" s="6"/>
      <c r="T42" s="6"/>
      <c r="U42" s="20"/>
      <c r="V42" s="28"/>
    </row>
    <row r="43" spans="1:22" s="13" customFormat="1" ht="15" x14ac:dyDescent="0.25">
      <c r="A43" s="20"/>
      <c r="B43" s="20" t="s">
        <v>213</v>
      </c>
      <c r="C43" s="20" t="s">
        <v>214</v>
      </c>
      <c r="D43" s="29"/>
      <c r="E43" s="29" t="e">
        <f>17000-F43</f>
        <v>#REF!</v>
      </c>
      <c r="F43" s="29" t="e">
        <f>+#REF!</f>
        <v>#REF!</v>
      </c>
      <c r="G43" s="29">
        <v>17000</v>
      </c>
      <c r="H43" s="29"/>
      <c r="I43" s="33">
        <v>17000</v>
      </c>
      <c r="J43" s="29"/>
      <c r="K43" s="73"/>
      <c r="L43" s="73"/>
      <c r="M43" s="73"/>
      <c r="N43" s="73"/>
      <c r="O43" s="73"/>
      <c r="P43" s="73"/>
      <c r="Q43" s="184">
        <v>41000</v>
      </c>
      <c r="R43" s="6">
        <v>0</v>
      </c>
      <c r="S43" s="6">
        <v>0</v>
      </c>
      <c r="T43" s="2" t="e">
        <f t="shared" ref="T43:T45" si="17">Q43+R43+S43-F43</f>
        <v>#REF!</v>
      </c>
      <c r="U43" s="20"/>
      <c r="V43" s="177">
        <f>(Q43+R43+S43)-(I43)</f>
        <v>24000</v>
      </c>
    </row>
    <row r="44" spans="1:22" s="13" customFormat="1" ht="15" x14ac:dyDescent="0.25">
      <c r="A44" s="20" t="s">
        <v>163</v>
      </c>
      <c r="B44" s="20" t="s">
        <v>215</v>
      </c>
      <c r="C44" s="86" t="s">
        <v>216</v>
      </c>
      <c r="D44" s="87"/>
      <c r="E44" s="29" t="e">
        <f t="shared" ref="E44" si="18">+G44-F44</f>
        <v>#REF!</v>
      </c>
      <c r="F44" s="29" t="e">
        <f>+#REF!</f>
        <v>#REF!</v>
      </c>
      <c r="G44" s="29">
        <v>23823.11</v>
      </c>
      <c r="H44" s="29"/>
      <c r="I44" s="33">
        <f>+G44</f>
        <v>23823.11</v>
      </c>
      <c r="J44" s="29"/>
      <c r="K44" s="73"/>
      <c r="L44" s="73"/>
      <c r="M44" s="73"/>
      <c r="N44" s="73"/>
      <c r="O44" s="73"/>
      <c r="P44" s="73"/>
      <c r="Q44" s="184">
        <v>0</v>
      </c>
      <c r="R44" s="6">
        <v>0</v>
      </c>
      <c r="S44" s="6">
        <v>0</v>
      </c>
      <c r="T44" s="2" t="e">
        <f t="shared" si="17"/>
        <v>#REF!</v>
      </c>
      <c r="U44" s="20"/>
      <c r="V44" s="6">
        <f>(Q44+R44+S44)-(I44)</f>
        <v>-23823.11</v>
      </c>
    </row>
    <row r="45" spans="1:22" s="13" customFormat="1" ht="15.75" thickBot="1" x14ac:dyDescent="0.3">
      <c r="A45" s="20"/>
      <c r="B45" s="94"/>
      <c r="C45" s="7"/>
      <c r="D45" s="40"/>
      <c r="E45" s="40"/>
      <c r="F45" s="40"/>
      <c r="G45" s="29"/>
      <c r="H45" s="29"/>
      <c r="I45" s="29"/>
      <c r="J45" s="29"/>
      <c r="K45" s="73"/>
      <c r="L45" s="73"/>
      <c r="M45" s="73"/>
      <c r="N45" s="73"/>
      <c r="O45" s="73"/>
      <c r="P45" s="73"/>
      <c r="Q45" s="6">
        <v>0</v>
      </c>
      <c r="R45" s="6">
        <v>0</v>
      </c>
      <c r="S45" s="6">
        <v>0</v>
      </c>
      <c r="T45" s="2">
        <f t="shared" si="17"/>
        <v>0</v>
      </c>
      <c r="U45" s="20"/>
      <c r="V45" s="6">
        <f t="shared" ref="V45" si="19">(Q45+R45+S45)-(H45)</f>
        <v>0</v>
      </c>
    </row>
    <row r="46" spans="1:22" s="13" customFormat="1" ht="15.75" thickBot="1" x14ac:dyDescent="0.3">
      <c r="A46" s="95"/>
      <c r="B46" s="68"/>
      <c r="C46" s="47" t="s">
        <v>217</v>
      </c>
      <c r="D46" s="48"/>
      <c r="E46" s="49" t="e">
        <f t="shared" ref="E46:F46" si="20">SUM(E43:E45)</f>
        <v>#REF!</v>
      </c>
      <c r="F46" s="49" t="e">
        <f t="shared" si="20"/>
        <v>#REF!</v>
      </c>
      <c r="G46" s="49">
        <f>SUM(G43:G45)</f>
        <v>40823.11</v>
      </c>
      <c r="H46" s="49">
        <f>SUM(H43:H45)</f>
        <v>0</v>
      </c>
      <c r="I46" s="96">
        <f>SUM(I42:I45)</f>
        <v>40823.11</v>
      </c>
      <c r="J46" s="97"/>
      <c r="K46" s="73"/>
      <c r="L46" s="73"/>
      <c r="M46" s="73"/>
      <c r="N46" s="73"/>
      <c r="O46" s="73"/>
      <c r="P46" s="73"/>
      <c r="Q46" s="93">
        <f>SUM(Q43:Q45)</f>
        <v>41000</v>
      </c>
      <c r="R46" s="93">
        <f>SUM(R43:R45)</f>
        <v>0</v>
      </c>
      <c r="S46" s="93">
        <f>SUM(S43:S45)</f>
        <v>0</v>
      </c>
      <c r="T46" s="93" t="e">
        <f>SUM(T43:T45)</f>
        <v>#REF!</v>
      </c>
      <c r="U46" s="20"/>
      <c r="V46" s="93">
        <f>SUM(V43:V45)</f>
        <v>176.88999999999942</v>
      </c>
    </row>
    <row r="47" spans="1:22" s="13" customFormat="1" ht="15" x14ac:dyDescent="0.25">
      <c r="A47" s="20"/>
      <c r="B47" s="77"/>
      <c r="C47" s="53"/>
      <c r="D47" s="54"/>
      <c r="E47" s="54"/>
      <c r="F47" s="54"/>
      <c r="G47" s="54"/>
      <c r="H47" s="78"/>
      <c r="I47" s="98"/>
      <c r="J47" s="97"/>
      <c r="K47" s="73"/>
      <c r="L47" s="73"/>
      <c r="M47" s="73"/>
      <c r="N47" s="73"/>
      <c r="O47" s="73"/>
      <c r="P47" s="73"/>
      <c r="Q47" s="6"/>
      <c r="R47" s="6"/>
      <c r="S47" s="6"/>
      <c r="T47" s="6"/>
      <c r="U47" s="28"/>
      <c r="V47" s="28"/>
    </row>
    <row r="48" spans="1:22" s="13" customFormat="1" ht="15.75" thickBot="1" x14ac:dyDescent="0.3">
      <c r="A48" s="20"/>
      <c r="B48" s="94"/>
      <c r="C48" s="99"/>
      <c r="D48" s="40"/>
      <c r="E48" s="40"/>
      <c r="F48" s="40"/>
      <c r="G48" s="40"/>
      <c r="H48" s="100"/>
      <c r="I48" s="100"/>
      <c r="J48" s="97"/>
      <c r="K48" s="73"/>
      <c r="L48" s="73"/>
      <c r="M48" s="73"/>
      <c r="N48" s="73"/>
      <c r="O48" s="73"/>
      <c r="P48" s="73"/>
      <c r="Q48" s="6"/>
      <c r="R48" s="6"/>
      <c r="S48" s="6"/>
      <c r="T48" s="6"/>
      <c r="U48" s="28"/>
      <c r="V48" s="28"/>
    </row>
    <row r="49" spans="1:23" s="13" customFormat="1" ht="19.5" customHeight="1" thickBot="1" x14ac:dyDescent="0.3">
      <c r="A49" s="67"/>
      <c r="B49" s="68"/>
      <c r="C49" s="69" t="s">
        <v>218</v>
      </c>
      <c r="D49" s="70"/>
      <c r="E49" s="70" t="e">
        <f>+E46+E40</f>
        <v>#REF!</v>
      </c>
      <c r="F49" s="70" t="e">
        <f t="shared" ref="F49:I49" si="21">+F46+F40</f>
        <v>#REF!</v>
      </c>
      <c r="G49" s="70">
        <f t="shared" si="21"/>
        <v>262250.03999999998</v>
      </c>
      <c r="H49" s="70">
        <f t="shared" si="21"/>
        <v>221426.93</v>
      </c>
      <c r="I49" s="91">
        <f t="shared" si="21"/>
        <v>40823.11</v>
      </c>
      <c r="J49" s="101"/>
      <c r="K49" s="102"/>
      <c r="L49" s="102"/>
      <c r="M49" s="102"/>
      <c r="N49" s="102"/>
      <c r="O49" s="102"/>
      <c r="P49" s="102"/>
      <c r="Q49" s="206">
        <f>Q40+Q46</f>
        <v>119000</v>
      </c>
      <c r="R49" s="206">
        <f>R40+R46</f>
        <v>138000</v>
      </c>
      <c r="S49" s="74">
        <f>S40+S46</f>
        <v>0</v>
      </c>
      <c r="T49" s="74" t="e">
        <f>T40+T46</f>
        <v>#REF!</v>
      </c>
      <c r="U49" s="26"/>
      <c r="V49" s="75">
        <f>V40+V46</f>
        <v>-39250.039999999994</v>
      </c>
    </row>
    <row r="50" spans="1:23" s="13" customFormat="1" ht="19.5" customHeight="1" x14ac:dyDescent="0.25">
      <c r="A50" s="20"/>
      <c r="B50" s="77"/>
      <c r="C50" s="53"/>
      <c r="D50" s="78"/>
      <c r="E50" s="78"/>
      <c r="F50" s="78"/>
      <c r="G50" s="78"/>
      <c r="H50" s="78"/>
      <c r="I50" s="78"/>
      <c r="J50" s="73"/>
      <c r="K50" s="73"/>
      <c r="L50" s="73"/>
      <c r="M50" s="73"/>
      <c r="N50" s="73"/>
      <c r="O50" s="73"/>
      <c r="P50" s="73"/>
      <c r="Q50" s="93"/>
      <c r="R50" s="93"/>
      <c r="S50" s="93"/>
      <c r="T50" s="93"/>
      <c r="U50" s="28"/>
      <c r="V50" s="93"/>
    </row>
    <row r="51" spans="1:23" s="13" customFormat="1" ht="16.5" customHeight="1" x14ac:dyDescent="0.25">
      <c r="A51" s="20"/>
      <c r="B51" s="20"/>
      <c r="C51" s="26"/>
      <c r="D51" s="82"/>
      <c r="E51" s="82"/>
      <c r="F51" s="82"/>
      <c r="G51" s="82"/>
      <c r="H51" s="80"/>
      <c r="I51" s="73"/>
      <c r="J51" s="73"/>
      <c r="K51" s="73"/>
      <c r="L51" s="73"/>
      <c r="M51" s="73"/>
      <c r="N51" s="73"/>
      <c r="O51" s="73"/>
      <c r="P51" s="73"/>
      <c r="Q51" s="217" t="s">
        <v>268</v>
      </c>
      <c r="R51" s="217"/>
      <c r="S51" s="217"/>
      <c r="T51" s="21" t="s">
        <v>279</v>
      </c>
      <c r="U51" s="20"/>
      <c r="V51" s="28"/>
    </row>
    <row r="52" spans="1:23" s="13" customFormat="1" ht="30" x14ac:dyDescent="0.25">
      <c r="A52" s="20"/>
      <c r="B52" s="20"/>
      <c r="C52" s="26" t="s">
        <v>219</v>
      </c>
      <c r="D52" s="103"/>
      <c r="E52" s="80" t="s">
        <v>342</v>
      </c>
      <c r="F52" s="80" t="s">
        <v>342</v>
      </c>
      <c r="G52" s="80" t="s">
        <v>342</v>
      </c>
      <c r="H52" s="80" t="s">
        <v>27</v>
      </c>
      <c r="I52" s="80" t="s">
        <v>31</v>
      </c>
      <c r="J52" s="82" t="s">
        <v>220</v>
      </c>
      <c r="K52" s="82" t="s">
        <v>280</v>
      </c>
      <c r="L52" s="80" t="s">
        <v>265</v>
      </c>
      <c r="M52" s="80" t="s">
        <v>266</v>
      </c>
      <c r="N52" s="82" t="s">
        <v>221</v>
      </c>
      <c r="O52" s="80" t="s">
        <v>179</v>
      </c>
      <c r="P52" s="83" t="s">
        <v>343</v>
      </c>
      <c r="Q52" s="21" t="s">
        <v>271</v>
      </c>
      <c r="R52" s="21" t="s">
        <v>306</v>
      </c>
      <c r="S52" s="21" t="s">
        <v>344</v>
      </c>
      <c r="T52" s="26"/>
      <c r="U52" s="20"/>
      <c r="V52" s="28"/>
    </row>
    <row r="53" spans="1:23" s="108" customFormat="1" ht="15" collapsed="1" x14ac:dyDescent="0.25">
      <c r="A53" s="1" t="s">
        <v>255</v>
      </c>
      <c r="B53" s="104" t="s">
        <v>222</v>
      </c>
      <c r="C53" s="1" t="s">
        <v>223</v>
      </c>
      <c r="D53" s="32"/>
      <c r="E53" s="29" t="e">
        <f t="shared" ref="E53:E60" si="22">+G53-F53</f>
        <v>#REF!</v>
      </c>
      <c r="F53" s="73" t="e">
        <f>+#REF!</f>
        <v>#REF!</v>
      </c>
      <c r="G53" s="73">
        <f>117863.71-30982.46</f>
        <v>86881.25</v>
      </c>
      <c r="H53" s="105">
        <f>+G53</f>
        <v>86881.25</v>
      </c>
      <c r="I53" s="106"/>
      <c r="J53" s="106"/>
      <c r="K53" s="106"/>
      <c r="L53" s="106"/>
      <c r="M53" s="106"/>
      <c r="N53" s="106"/>
      <c r="O53" s="106"/>
      <c r="P53" s="106"/>
      <c r="Q53" s="193">
        <f>85000+87000-10000-43000-32000</f>
        <v>87000</v>
      </c>
      <c r="R53" s="6">
        <v>0</v>
      </c>
      <c r="S53" s="6">
        <v>0</v>
      </c>
      <c r="T53" s="2" t="e">
        <f t="shared" ref="T53:T61" si="23">Q53+R53+S53-F53</f>
        <v>#REF!</v>
      </c>
      <c r="U53" s="107" t="s">
        <v>311</v>
      </c>
      <c r="V53" s="6">
        <f>(Q53+R53+S53)-(H53)</f>
        <v>118.75</v>
      </c>
    </row>
    <row r="54" spans="1:23" s="31" customFormat="1" ht="15" collapsed="1" x14ac:dyDescent="0.25">
      <c r="A54" s="1" t="s">
        <v>255</v>
      </c>
      <c r="B54" s="1" t="s">
        <v>224</v>
      </c>
      <c r="C54" s="2" t="s">
        <v>225</v>
      </c>
      <c r="D54" s="29"/>
      <c r="E54" s="29" t="e">
        <f t="shared" si="22"/>
        <v>#REF!</v>
      </c>
      <c r="F54" s="29" t="e">
        <f>+#REF!</f>
        <v>#REF!</v>
      </c>
      <c r="G54" s="73">
        <f>18622.5-17000</f>
        <v>1622.5</v>
      </c>
      <c r="H54" s="105">
        <f t="shared" ref="H54:H60" si="24">+G54</f>
        <v>1622.5</v>
      </c>
      <c r="I54" s="109"/>
      <c r="J54" s="29"/>
      <c r="K54" s="29"/>
      <c r="L54" s="29"/>
      <c r="M54" s="29"/>
      <c r="N54" s="29"/>
      <c r="O54" s="29"/>
      <c r="P54" s="29"/>
      <c r="Q54" s="193">
        <v>2000</v>
      </c>
      <c r="R54" s="6">
        <v>0</v>
      </c>
      <c r="S54" s="6">
        <v>0</v>
      </c>
      <c r="T54" s="2" t="e">
        <f t="shared" si="23"/>
        <v>#REF!</v>
      </c>
      <c r="U54" s="85" t="s">
        <v>278</v>
      </c>
      <c r="V54" s="185">
        <f t="shared" ref="V54:V60" si="25">(Q54+R54+S54)-(H54)</f>
        <v>377.5</v>
      </c>
    </row>
    <row r="55" spans="1:23" s="13" customFormat="1" ht="15" x14ac:dyDescent="0.25">
      <c r="A55" s="1" t="s">
        <v>255</v>
      </c>
      <c r="B55" s="110" t="s">
        <v>226</v>
      </c>
      <c r="C55" s="1" t="s">
        <v>227</v>
      </c>
      <c r="D55" s="32"/>
      <c r="E55" s="29" t="e">
        <f t="shared" si="22"/>
        <v>#REF!</v>
      </c>
      <c r="F55" s="29" t="e">
        <f>+#REF!</f>
        <v>#REF!</v>
      </c>
      <c r="G55" s="73">
        <v>17661.7</v>
      </c>
      <c r="H55" s="105">
        <f t="shared" si="24"/>
        <v>17661.7</v>
      </c>
      <c r="I55" s="73"/>
      <c r="J55" s="73"/>
      <c r="K55" s="73"/>
      <c r="L55" s="73"/>
      <c r="M55" s="73"/>
      <c r="N55" s="73"/>
      <c r="O55" s="73"/>
      <c r="P55" s="73"/>
      <c r="Q55" s="193">
        <v>4000</v>
      </c>
      <c r="R55" s="193">
        <v>24000</v>
      </c>
      <c r="S55" s="6">
        <v>0</v>
      </c>
      <c r="T55" s="2" t="e">
        <f t="shared" si="23"/>
        <v>#REF!</v>
      </c>
      <c r="U55" s="20"/>
      <c r="V55" s="178">
        <f t="shared" si="25"/>
        <v>10338.299999999999</v>
      </c>
    </row>
    <row r="56" spans="1:23" s="108" customFormat="1" ht="15" collapsed="1" x14ac:dyDescent="0.25">
      <c r="A56" s="1" t="s">
        <v>255</v>
      </c>
      <c r="B56" s="1" t="s">
        <v>228</v>
      </c>
      <c r="C56" s="1" t="s">
        <v>229</v>
      </c>
      <c r="D56" s="32"/>
      <c r="E56" s="29" t="e">
        <f t="shared" si="22"/>
        <v>#REF!</v>
      </c>
      <c r="F56" s="29" t="e">
        <f>+#REF!</f>
        <v>#REF!</v>
      </c>
      <c r="G56" s="73">
        <v>19216.150000000001</v>
      </c>
      <c r="H56" s="105">
        <f t="shared" si="24"/>
        <v>19216.150000000001</v>
      </c>
      <c r="I56" s="106"/>
      <c r="J56" s="106"/>
      <c r="K56" s="106"/>
      <c r="L56" s="106"/>
      <c r="M56" s="106"/>
      <c r="N56" s="106"/>
      <c r="O56" s="106"/>
      <c r="P56" s="106"/>
      <c r="Q56" s="184">
        <v>1000</v>
      </c>
      <c r="R56" s="184">
        <v>68000</v>
      </c>
      <c r="S56" s="6">
        <v>0</v>
      </c>
      <c r="T56" s="2" t="e">
        <f t="shared" si="23"/>
        <v>#REF!</v>
      </c>
      <c r="U56" s="107"/>
      <c r="V56" s="6">
        <f t="shared" si="25"/>
        <v>49783.85</v>
      </c>
    </row>
    <row r="57" spans="1:23" s="13" customFormat="1" ht="15" x14ac:dyDescent="0.25">
      <c r="A57" s="1" t="s">
        <v>255</v>
      </c>
      <c r="B57" s="1" t="s">
        <v>230</v>
      </c>
      <c r="C57" s="1" t="s">
        <v>231</v>
      </c>
      <c r="D57" s="32"/>
      <c r="E57" s="29" t="e">
        <f t="shared" si="22"/>
        <v>#REF!</v>
      </c>
      <c r="F57" s="29" t="e">
        <f>+#REF!</f>
        <v>#REF!</v>
      </c>
      <c r="G57" s="73">
        <v>3330.17</v>
      </c>
      <c r="H57" s="105">
        <f t="shared" si="24"/>
        <v>3330.17</v>
      </c>
      <c r="I57" s="73"/>
      <c r="J57" s="73"/>
      <c r="K57" s="73"/>
      <c r="L57" s="73"/>
      <c r="M57" s="73"/>
      <c r="N57" s="73"/>
      <c r="O57" s="73"/>
      <c r="P57" s="73"/>
      <c r="Q57" s="193">
        <v>3000</v>
      </c>
      <c r="R57" s="6">
        <v>0</v>
      </c>
      <c r="S57" s="6">
        <v>0</v>
      </c>
      <c r="T57" s="2" t="e">
        <f t="shared" si="23"/>
        <v>#REF!</v>
      </c>
      <c r="U57" s="181" t="s">
        <v>373</v>
      </c>
      <c r="V57" s="177">
        <f t="shared" si="25"/>
        <v>-330.17000000000007</v>
      </c>
      <c r="W57" s="179"/>
    </row>
    <row r="58" spans="1:23" s="13" customFormat="1" ht="15" x14ac:dyDescent="0.25">
      <c r="A58" s="1" t="s">
        <v>255</v>
      </c>
      <c r="B58" s="1" t="s">
        <v>232</v>
      </c>
      <c r="C58" s="1" t="s">
        <v>233</v>
      </c>
      <c r="D58" s="32"/>
      <c r="E58" s="29" t="e">
        <f t="shared" si="22"/>
        <v>#REF!</v>
      </c>
      <c r="F58" s="29" t="e">
        <f>+#REF!</f>
        <v>#REF!</v>
      </c>
      <c r="G58" s="73">
        <v>38972.769999999997</v>
      </c>
      <c r="H58" s="105">
        <f t="shared" si="24"/>
        <v>38972.769999999997</v>
      </c>
      <c r="I58" s="73"/>
      <c r="J58" s="73"/>
      <c r="K58" s="73"/>
      <c r="L58" s="73"/>
      <c r="M58" s="73"/>
      <c r="N58" s="73"/>
      <c r="O58" s="73"/>
      <c r="P58" s="73"/>
      <c r="Q58" s="193">
        <v>0</v>
      </c>
      <c r="R58" s="193">
        <v>39000</v>
      </c>
      <c r="S58" s="6">
        <v>0</v>
      </c>
      <c r="T58" s="2" t="e">
        <f t="shared" si="23"/>
        <v>#REF!</v>
      </c>
      <c r="U58" s="20"/>
      <c r="V58" s="6">
        <f t="shared" si="25"/>
        <v>27.230000000003201</v>
      </c>
    </row>
    <row r="59" spans="1:23" s="13" customFormat="1" ht="15" x14ac:dyDescent="0.25">
      <c r="A59" s="1" t="s">
        <v>255</v>
      </c>
      <c r="B59" s="1" t="s">
        <v>307</v>
      </c>
      <c r="C59" s="1" t="s">
        <v>234</v>
      </c>
      <c r="D59" s="32"/>
      <c r="E59" s="29" t="e">
        <f t="shared" si="22"/>
        <v>#REF!</v>
      </c>
      <c r="F59" s="29" t="e">
        <f>+#REF!</f>
        <v>#REF!</v>
      </c>
      <c r="G59" s="73">
        <f>10000+17000</f>
        <v>27000</v>
      </c>
      <c r="H59" s="105">
        <f t="shared" si="24"/>
        <v>27000</v>
      </c>
      <c r="I59" s="73"/>
      <c r="J59" s="73"/>
      <c r="K59" s="73"/>
      <c r="L59" s="73"/>
      <c r="M59" s="73"/>
      <c r="N59" s="73"/>
      <c r="O59" s="73"/>
      <c r="P59" s="73"/>
      <c r="Q59" s="184">
        <v>27000</v>
      </c>
      <c r="R59" s="6">
        <v>0</v>
      </c>
      <c r="S59" s="6">
        <v>0</v>
      </c>
      <c r="T59" s="2" t="e">
        <f t="shared" si="23"/>
        <v>#REF!</v>
      </c>
      <c r="U59" s="182" t="s">
        <v>378</v>
      </c>
      <c r="V59" s="185">
        <f t="shared" si="25"/>
        <v>0</v>
      </c>
    </row>
    <row r="60" spans="1:23" s="13" customFormat="1" ht="15" x14ac:dyDescent="0.25">
      <c r="A60" s="1" t="s">
        <v>255</v>
      </c>
      <c r="B60" s="208" t="s">
        <v>403</v>
      </c>
      <c r="C60" s="85" t="s">
        <v>404</v>
      </c>
      <c r="D60" s="203"/>
      <c r="E60" s="29" t="e">
        <f t="shared" si="22"/>
        <v>#REF!</v>
      </c>
      <c r="F60" s="29" t="e">
        <f>+#REF!</f>
        <v>#REF!</v>
      </c>
      <c r="G60" s="73">
        <v>1068.2</v>
      </c>
      <c r="H60" s="111">
        <f t="shared" si="24"/>
        <v>1068.2</v>
      </c>
      <c r="I60" s="73"/>
      <c r="J60" s="73"/>
      <c r="K60" s="73"/>
      <c r="L60" s="73"/>
      <c r="M60" s="73"/>
      <c r="N60" s="73"/>
      <c r="O60" s="73"/>
      <c r="P60" s="73"/>
      <c r="Q60" s="184">
        <v>0</v>
      </c>
      <c r="R60" s="184">
        <v>25000</v>
      </c>
      <c r="S60" s="6">
        <v>0</v>
      </c>
      <c r="T60" s="2" t="e">
        <f t="shared" si="23"/>
        <v>#REF!</v>
      </c>
      <c r="U60" s="20"/>
      <c r="V60" s="6">
        <f t="shared" si="25"/>
        <v>23931.8</v>
      </c>
    </row>
    <row r="61" spans="1:23" s="13" customFormat="1" ht="15.75" thickBot="1" x14ac:dyDescent="0.3">
      <c r="A61" s="1" t="s">
        <v>255</v>
      </c>
      <c r="B61" s="204" t="s">
        <v>405</v>
      </c>
      <c r="C61" s="197" t="s">
        <v>406</v>
      </c>
      <c r="D61" s="198"/>
      <c r="E61" s="199"/>
      <c r="F61" s="199"/>
      <c r="G61" s="200"/>
      <c r="H61" s="142"/>
      <c r="I61" s="201"/>
      <c r="J61" s="142"/>
      <c r="K61" s="142"/>
      <c r="L61" s="142"/>
      <c r="M61" s="142"/>
      <c r="N61" s="142"/>
      <c r="O61" s="142"/>
      <c r="P61" s="142"/>
      <c r="Q61" s="202">
        <v>0</v>
      </c>
      <c r="R61" s="202">
        <v>18000</v>
      </c>
      <c r="S61" s="9">
        <v>0</v>
      </c>
      <c r="T61" s="2">
        <f t="shared" si="23"/>
        <v>18000</v>
      </c>
      <c r="U61" s="77"/>
      <c r="V61" s="6"/>
    </row>
    <row r="62" spans="1:23" s="13" customFormat="1" ht="15.75" thickBot="1" x14ac:dyDescent="0.3">
      <c r="A62" s="112"/>
      <c r="B62" s="113"/>
      <c r="C62" s="114" t="s">
        <v>235</v>
      </c>
      <c r="D62" s="115"/>
      <c r="E62" s="49" t="e">
        <f>SUM(E53:E61)</f>
        <v>#REF!</v>
      </c>
      <c r="F62" s="49" t="e">
        <f>SUM(F53:F61)</f>
        <v>#REF!</v>
      </c>
      <c r="G62" s="116">
        <f>SUM(G53:G61)</f>
        <v>195752.74000000002</v>
      </c>
      <c r="H62" s="117">
        <f>SUM(H53:H61)</f>
        <v>195752.74000000002</v>
      </c>
      <c r="I62" s="97"/>
      <c r="J62" s="73"/>
      <c r="K62" s="89"/>
      <c r="L62" s="73"/>
      <c r="M62" s="73"/>
      <c r="N62" s="73"/>
      <c r="O62" s="73"/>
      <c r="P62" s="73"/>
      <c r="Q62" s="93">
        <f>SUM(Q53:Q61)</f>
        <v>124000</v>
      </c>
      <c r="R62" s="93">
        <f>SUM(R53:R61)</f>
        <v>174000</v>
      </c>
      <c r="S62" s="93">
        <f>SUM(S53:S61)</f>
        <v>0</v>
      </c>
      <c r="T62" s="93" t="e">
        <f>SUM(T53:T61)</f>
        <v>#REF!</v>
      </c>
      <c r="U62" s="3"/>
      <c r="V62" s="93">
        <f>SUM(V53:V59)</f>
        <v>60315.46</v>
      </c>
    </row>
    <row r="63" spans="1:23" s="13" customFormat="1" ht="15" x14ac:dyDescent="0.25">
      <c r="A63" s="1"/>
      <c r="B63" s="8"/>
      <c r="C63" s="53"/>
      <c r="D63" s="118"/>
      <c r="E63" s="118"/>
      <c r="F63" s="118"/>
      <c r="G63" s="118"/>
      <c r="H63" s="119"/>
      <c r="I63" s="97"/>
      <c r="J63" s="73"/>
      <c r="K63" s="89"/>
      <c r="L63" s="73"/>
      <c r="M63" s="73"/>
      <c r="N63" s="73"/>
      <c r="O63" s="73"/>
      <c r="P63" s="73"/>
      <c r="Q63" s="6"/>
      <c r="R63" s="6"/>
      <c r="S63" s="6"/>
      <c r="T63" s="6"/>
      <c r="U63" s="20"/>
      <c r="V63" s="28"/>
    </row>
    <row r="64" spans="1:23" s="13" customFormat="1" ht="15" x14ac:dyDescent="0.25">
      <c r="A64" s="1"/>
      <c r="B64" s="1"/>
      <c r="C64" s="26"/>
      <c r="D64" s="32"/>
      <c r="E64" s="32"/>
      <c r="F64" s="32"/>
      <c r="G64" s="32"/>
      <c r="H64" s="120"/>
      <c r="I64" s="97"/>
      <c r="J64" s="73"/>
      <c r="K64" s="89"/>
      <c r="L64" s="73"/>
      <c r="M64" s="73"/>
      <c r="N64" s="73"/>
      <c r="O64" s="73"/>
      <c r="P64" s="73"/>
      <c r="Q64" s="6"/>
      <c r="R64" s="6"/>
      <c r="S64" s="6"/>
      <c r="T64" s="6"/>
      <c r="U64" s="20"/>
      <c r="V64" s="28"/>
    </row>
    <row r="65" spans="1:24" s="13" customFormat="1" ht="15" x14ac:dyDescent="0.25">
      <c r="A65" s="8" t="s">
        <v>163</v>
      </c>
      <c r="B65" s="121" t="s">
        <v>222</v>
      </c>
      <c r="C65" s="8" t="s">
        <v>223</v>
      </c>
      <c r="D65" s="118"/>
      <c r="E65" s="29" t="e">
        <f t="shared" ref="E65:E69" si="26">+G65-F65</f>
        <v>#REF!</v>
      </c>
      <c r="F65" s="29" t="e">
        <f>+#REF!</f>
        <v>#REF!</v>
      </c>
      <c r="G65" s="73">
        <f>11000+30982.46</f>
        <v>41982.46</v>
      </c>
      <c r="H65" s="122"/>
      <c r="I65" s="88">
        <f>+G65</f>
        <v>41982.46</v>
      </c>
      <c r="J65" s="73"/>
      <c r="K65" s="89"/>
      <c r="L65" s="73"/>
      <c r="M65" s="73"/>
      <c r="N65" s="73"/>
      <c r="O65" s="73"/>
      <c r="P65" s="73"/>
      <c r="Q65" s="193">
        <f>10000+32000</f>
        <v>42000</v>
      </c>
      <c r="R65" s="6">
        <v>0</v>
      </c>
      <c r="S65" s="6">
        <v>0</v>
      </c>
      <c r="T65" s="2" t="e">
        <f t="shared" ref="T65:T69" si="27">Q65+R65+S65-F65</f>
        <v>#REF!</v>
      </c>
      <c r="U65" s="107" t="s">
        <v>311</v>
      </c>
      <c r="V65" s="177">
        <f t="shared" ref="V65:V69" si="28">(Q65+R65+S65)-(I65)</f>
        <v>17.540000000000873</v>
      </c>
    </row>
    <row r="66" spans="1:24" s="13" customFormat="1" ht="15" x14ac:dyDescent="0.25">
      <c r="A66" s="8" t="s">
        <v>163</v>
      </c>
      <c r="B66" s="110" t="s">
        <v>226</v>
      </c>
      <c r="C66" s="1" t="s">
        <v>227</v>
      </c>
      <c r="D66" s="32"/>
      <c r="E66" s="29" t="e">
        <f t="shared" si="26"/>
        <v>#REF!</v>
      </c>
      <c r="F66" s="29" t="e">
        <f>+#REF!</f>
        <v>#REF!</v>
      </c>
      <c r="G66" s="73">
        <v>20000</v>
      </c>
      <c r="H66" s="34"/>
      <c r="I66" s="84">
        <f t="shared" ref="I66:I69" si="29">+G66</f>
        <v>20000</v>
      </c>
      <c r="J66" s="73"/>
      <c r="K66" s="89"/>
      <c r="L66" s="73"/>
      <c r="M66" s="73"/>
      <c r="N66" s="73"/>
      <c r="O66" s="73"/>
      <c r="P66" s="73"/>
      <c r="Q66" s="193">
        <v>4000</v>
      </c>
      <c r="R66" s="193">
        <v>6000</v>
      </c>
      <c r="S66" s="6">
        <v>0</v>
      </c>
      <c r="T66" s="2" t="e">
        <f t="shared" si="27"/>
        <v>#REF!</v>
      </c>
      <c r="U66" s="20" t="s">
        <v>270</v>
      </c>
      <c r="V66" s="178">
        <f t="shared" si="28"/>
        <v>-10000</v>
      </c>
    </row>
    <row r="67" spans="1:24" s="13" customFormat="1" ht="30" x14ac:dyDescent="0.25">
      <c r="A67" s="8" t="s">
        <v>163</v>
      </c>
      <c r="B67" s="20" t="s">
        <v>236</v>
      </c>
      <c r="C67" s="20" t="s">
        <v>374</v>
      </c>
      <c r="D67" s="73"/>
      <c r="E67" s="29" t="e">
        <f t="shared" si="26"/>
        <v>#REF!</v>
      </c>
      <c r="F67" s="29" t="e">
        <f>+#REF!</f>
        <v>#REF!</v>
      </c>
      <c r="G67" s="29">
        <v>15000</v>
      </c>
      <c r="H67" s="73"/>
      <c r="I67" s="84">
        <f t="shared" si="29"/>
        <v>15000</v>
      </c>
      <c r="J67" s="73"/>
      <c r="K67" s="89"/>
      <c r="L67" s="73"/>
      <c r="M67" s="73"/>
      <c r="N67" s="73"/>
      <c r="O67" s="73"/>
      <c r="P67" s="73"/>
      <c r="Q67" s="193">
        <v>0</v>
      </c>
      <c r="R67" s="193">
        <v>15000</v>
      </c>
      <c r="S67" s="6">
        <v>0</v>
      </c>
      <c r="T67" s="2" t="e">
        <f t="shared" si="27"/>
        <v>#REF!</v>
      </c>
      <c r="U67" s="20"/>
      <c r="V67" s="6">
        <f t="shared" si="28"/>
        <v>0</v>
      </c>
    </row>
    <row r="68" spans="1:24" s="13" customFormat="1" ht="30" x14ac:dyDescent="0.25">
      <c r="A68" s="8" t="s">
        <v>163</v>
      </c>
      <c r="B68" s="10" t="s">
        <v>237</v>
      </c>
      <c r="C68" s="10" t="s">
        <v>238</v>
      </c>
      <c r="D68" s="123"/>
      <c r="E68" s="29" t="e">
        <f t="shared" si="26"/>
        <v>#REF!</v>
      </c>
      <c r="F68" s="29" t="e">
        <f>+#REF!</f>
        <v>#REF!</v>
      </c>
      <c r="G68" s="29">
        <v>12202.989999999991</v>
      </c>
      <c r="H68" s="73"/>
      <c r="I68" s="33">
        <f t="shared" si="29"/>
        <v>12202.989999999991</v>
      </c>
      <c r="J68" s="106"/>
      <c r="K68" s="89"/>
      <c r="L68" s="73"/>
      <c r="M68" s="73"/>
      <c r="N68" s="73"/>
      <c r="O68" s="73"/>
      <c r="P68" s="73"/>
      <c r="Q68" s="193">
        <v>0</v>
      </c>
      <c r="R68" s="193">
        <v>12000</v>
      </c>
      <c r="S68" s="6">
        <v>0</v>
      </c>
      <c r="T68" s="2" t="e">
        <f t="shared" si="27"/>
        <v>#REF!</v>
      </c>
      <c r="U68" s="124"/>
      <c r="V68" s="6">
        <f t="shared" si="28"/>
        <v>-202.98999999999069</v>
      </c>
    </row>
    <row r="69" spans="1:24" s="13" customFormat="1" ht="15.75" thickBot="1" x14ac:dyDescent="0.3">
      <c r="A69" s="8" t="s">
        <v>163</v>
      </c>
      <c r="B69" s="94" t="s">
        <v>384</v>
      </c>
      <c r="C69" s="10" t="s">
        <v>325</v>
      </c>
      <c r="D69" s="123"/>
      <c r="E69" s="40" t="e">
        <f t="shared" si="26"/>
        <v>#REF!</v>
      </c>
      <c r="F69" s="29" t="e">
        <f>+#REF!</f>
        <v>#REF!</v>
      </c>
      <c r="G69" s="125">
        <v>62057</v>
      </c>
      <c r="H69" s="126"/>
      <c r="I69" s="127">
        <f t="shared" si="29"/>
        <v>62057</v>
      </c>
      <c r="J69" s="128"/>
      <c r="K69" s="89"/>
      <c r="L69" s="73"/>
      <c r="M69" s="73"/>
      <c r="N69" s="73"/>
      <c r="O69" s="73"/>
      <c r="P69" s="73"/>
      <c r="Q69" s="193">
        <v>62000</v>
      </c>
      <c r="R69" s="20">
        <v>0</v>
      </c>
      <c r="S69" s="20">
        <v>0</v>
      </c>
      <c r="T69" s="2" t="e">
        <f t="shared" si="27"/>
        <v>#REF!</v>
      </c>
      <c r="U69" s="20"/>
      <c r="V69" s="6">
        <f t="shared" si="28"/>
        <v>-57</v>
      </c>
      <c r="W69" s="180" t="s">
        <v>375</v>
      </c>
      <c r="X69" s="179"/>
    </row>
    <row r="70" spans="1:24" s="13" customFormat="1" ht="15.75" thickBot="1" x14ac:dyDescent="0.3">
      <c r="A70" s="112"/>
      <c r="B70" s="113"/>
      <c r="C70" s="114" t="s">
        <v>217</v>
      </c>
      <c r="D70" s="115"/>
      <c r="E70" s="116" t="e">
        <f>SUM(E65:E69)</f>
        <v>#REF!</v>
      </c>
      <c r="F70" s="116" t="e">
        <f>SUM(F65:F69)</f>
        <v>#REF!</v>
      </c>
      <c r="G70" s="116">
        <f>SUM(G65:G69)</f>
        <v>151242.44999999998</v>
      </c>
      <c r="H70" s="116">
        <f>SUM(H65:H69)</f>
        <v>0</v>
      </c>
      <c r="I70" s="129">
        <f>SUM(I65:I68)</f>
        <v>89185.449999999983</v>
      </c>
      <c r="J70" s="128"/>
      <c r="K70" s="89"/>
      <c r="L70" s="73"/>
      <c r="M70" s="73"/>
      <c r="N70" s="73"/>
      <c r="O70" s="73"/>
      <c r="P70" s="73"/>
      <c r="Q70" s="93">
        <f>SUM(Q65:Q69)</f>
        <v>108000</v>
      </c>
      <c r="R70" s="93">
        <f>SUM(R65:R69)</f>
        <v>33000</v>
      </c>
      <c r="S70" s="93">
        <f>SUM(S65:S69)</f>
        <v>0</v>
      </c>
      <c r="T70" s="93" t="e">
        <f>SUM(T65:T69)</f>
        <v>#REF!</v>
      </c>
      <c r="U70" s="20"/>
      <c r="V70" s="93">
        <f>SUM(V65:V69)</f>
        <v>-10242.44999999999</v>
      </c>
    </row>
    <row r="71" spans="1:24" s="13" customFormat="1" ht="15" x14ac:dyDescent="0.25">
      <c r="A71" s="1"/>
      <c r="B71" s="8"/>
      <c r="C71" s="53"/>
      <c r="D71" s="118"/>
      <c r="E71" s="118"/>
      <c r="F71" s="118"/>
      <c r="G71" s="118"/>
      <c r="H71" s="122"/>
      <c r="I71" s="130"/>
      <c r="J71" s="128"/>
      <c r="K71" s="89"/>
      <c r="L71" s="73"/>
      <c r="M71" s="73"/>
      <c r="N71" s="73"/>
      <c r="O71" s="73"/>
      <c r="P71" s="73"/>
      <c r="Q71" s="6"/>
      <c r="R71" s="6"/>
      <c r="S71" s="6"/>
      <c r="T71" s="6"/>
      <c r="U71" s="20"/>
      <c r="V71" s="28"/>
    </row>
    <row r="72" spans="1:24" s="13" customFormat="1" ht="15" x14ac:dyDescent="0.25">
      <c r="A72" s="1"/>
      <c r="B72" s="1"/>
      <c r="C72" s="26"/>
      <c r="D72" s="32"/>
      <c r="E72" s="32"/>
      <c r="F72" s="32"/>
      <c r="G72" s="32"/>
      <c r="H72" s="34"/>
      <c r="I72" s="131"/>
      <c r="J72" s="128"/>
      <c r="K72" s="89"/>
      <c r="L72" s="73"/>
      <c r="M72" s="73"/>
      <c r="N72" s="73"/>
      <c r="O72" s="73"/>
      <c r="P72" s="73"/>
      <c r="Q72" s="6"/>
      <c r="R72" s="6"/>
      <c r="S72" s="6"/>
      <c r="T72" s="6"/>
      <c r="U72" s="20"/>
      <c r="V72" s="6"/>
    </row>
    <row r="73" spans="1:24" s="13" customFormat="1" ht="15" x14ac:dyDescent="0.25">
      <c r="A73" s="1"/>
      <c r="B73" s="1" t="s">
        <v>275</v>
      </c>
      <c r="C73" s="132" t="s">
        <v>239</v>
      </c>
      <c r="D73" s="133"/>
      <c r="E73" s="29" t="e">
        <f t="shared" ref="E73:E76" si="30">+G73-F73</f>
        <v>#REF!</v>
      </c>
      <c r="F73" s="133" t="e">
        <f>+#REF!</f>
        <v>#REF!</v>
      </c>
      <c r="G73" s="90">
        <v>16000</v>
      </c>
      <c r="H73" s="34"/>
      <c r="I73" s="73"/>
      <c r="J73" s="134">
        <f>+G73</f>
        <v>16000</v>
      </c>
      <c r="K73" s="89"/>
      <c r="L73" s="73"/>
      <c r="M73" s="73"/>
      <c r="N73" s="73"/>
      <c r="O73" s="73"/>
      <c r="P73" s="73">
        <v>16</v>
      </c>
      <c r="Q73" s="193">
        <v>16000</v>
      </c>
      <c r="R73" s="6">
        <v>0</v>
      </c>
      <c r="S73" s="6">
        <v>0</v>
      </c>
      <c r="T73" s="2" t="e">
        <f t="shared" ref="T73:T76" si="31">Q73+R73+S73-F73</f>
        <v>#REF!</v>
      </c>
      <c r="U73" s="85" t="s">
        <v>326</v>
      </c>
      <c r="V73" s="177">
        <f>(Q73+R73+S73)-(J73)</f>
        <v>0</v>
      </c>
    </row>
    <row r="74" spans="1:24" s="13" customFormat="1" ht="15" x14ac:dyDescent="0.25">
      <c r="A74" s="135"/>
      <c r="B74" s="135" t="s">
        <v>300</v>
      </c>
      <c r="C74" s="10" t="s">
        <v>276</v>
      </c>
      <c r="D74" s="123"/>
      <c r="E74" s="29" t="e">
        <f t="shared" si="30"/>
        <v>#REF!</v>
      </c>
      <c r="F74" s="133" t="e">
        <f>+#REF!</f>
        <v>#REF!</v>
      </c>
      <c r="G74" s="90">
        <v>13000</v>
      </c>
      <c r="H74" s="137"/>
      <c r="I74" s="138"/>
      <c r="J74" s="134">
        <f t="shared" ref="J74:J75" si="32">+G74</f>
        <v>13000</v>
      </c>
      <c r="K74" s="92"/>
      <c r="L74" s="73"/>
      <c r="M74" s="73"/>
      <c r="N74" s="73"/>
      <c r="O74" s="73"/>
      <c r="P74" s="73">
        <v>13</v>
      </c>
      <c r="Q74" s="193">
        <v>13000</v>
      </c>
      <c r="R74" s="6">
        <v>0</v>
      </c>
      <c r="S74" s="6">
        <v>0</v>
      </c>
      <c r="T74" s="2" t="e">
        <f t="shared" si="31"/>
        <v>#REF!</v>
      </c>
      <c r="U74" s="85" t="s">
        <v>326</v>
      </c>
      <c r="V74" s="177">
        <f t="shared" ref="V74:V76" si="33">(Q74+R74+S74)-(J74)</f>
        <v>0</v>
      </c>
    </row>
    <row r="75" spans="1:24" s="13" customFormat="1" ht="15" x14ac:dyDescent="0.25">
      <c r="A75" s="10"/>
      <c r="B75" s="10" t="s">
        <v>333</v>
      </c>
      <c r="C75" s="136" t="s">
        <v>308</v>
      </c>
      <c r="D75" s="123"/>
      <c r="E75" s="40" t="e">
        <f t="shared" si="30"/>
        <v>#REF!</v>
      </c>
      <c r="F75" s="139" t="e">
        <f>+#REF!</f>
        <v>#REF!</v>
      </c>
      <c r="G75" s="125">
        <v>91000</v>
      </c>
      <c r="H75" s="137"/>
      <c r="I75" s="102"/>
      <c r="J75" s="186">
        <f t="shared" si="32"/>
        <v>91000</v>
      </c>
      <c r="K75" s="187"/>
      <c r="L75" s="102"/>
      <c r="M75" s="101"/>
      <c r="N75" s="97"/>
      <c r="O75" s="73"/>
      <c r="P75" s="73">
        <v>91</v>
      </c>
      <c r="Q75" s="193">
        <v>91000</v>
      </c>
      <c r="R75" s="6">
        <v>0</v>
      </c>
      <c r="S75" s="6">
        <v>0</v>
      </c>
      <c r="T75" s="2" t="e">
        <f t="shared" si="31"/>
        <v>#REF!</v>
      </c>
      <c r="U75" s="85" t="s">
        <v>309</v>
      </c>
      <c r="V75" s="177">
        <f t="shared" si="33"/>
        <v>0</v>
      </c>
    </row>
    <row r="76" spans="1:24" s="13" customFormat="1" ht="15.75" thickBot="1" x14ac:dyDescent="0.3">
      <c r="A76" s="1"/>
      <c r="B76" s="10" t="s">
        <v>407</v>
      </c>
      <c r="C76" s="136" t="s">
        <v>386</v>
      </c>
      <c r="D76" s="123"/>
      <c r="E76" s="40" t="e">
        <f t="shared" si="30"/>
        <v>#REF!</v>
      </c>
      <c r="F76" s="139" t="e">
        <f>+#REF!</f>
        <v>#REF!</v>
      </c>
      <c r="G76" s="125">
        <v>340000</v>
      </c>
      <c r="H76" s="137"/>
      <c r="I76" s="102"/>
      <c r="J76" s="186">
        <v>340000</v>
      </c>
      <c r="K76" s="89"/>
      <c r="L76" s="73"/>
      <c r="M76" s="73"/>
      <c r="N76" s="97"/>
      <c r="O76" s="73"/>
      <c r="P76" s="73">
        <v>340</v>
      </c>
      <c r="Q76" s="193">
        <v>340000</v>
      </c>
      <c r="R76" s="6">
        <v>0</v>
      </c>
      <c r="S76" s="6">
        <v>0</v>
      </c>
      <c r="T76" s="2" t="e">
        <f t="shared" si="31"/>
        <v>#REF!</v>
      </c>
      <c r="U76" s="85"/>
      <c r="V76" s="177">
        <f t="shared" si="33"/>
        <v>0</v>
      </c>
    </row>
    <row r="77" spans="1:24" s="13" customFormat="1" ht="15.75" thickBot="1" x14ac:dyDescent="0.3">
      <c r="A77" s="188"/>
      <c r="B77" s="113"/>
      <c r="C77" s="114" t="s">
        <v>240</v>
      </c>
      <c r="D77" s="115"/>
      <c r="E77" s="116" t="e">
        <f t="shared" ref="E77:H77" si="34">SUM(E73:E76)</f>
        <v>#REF!</v>
      </c>
      <c r="F77" s="116" t="e">
        <f t="shared" si="34"/>
        <v>#REF!</v>
      </c>
      <c r="G77" s="116">
        <f t="shared" si="34"/>
        <v>460000</v>
      </c>
      <c r="H77" s="116">
        <f t="shared" si="34"/>
        <v>0</v>
      </c>
      <c r="I77" s="116">
        <f>SUM(I73:I76)</f>
        <v>0</v>
      </c>
      <c r="J77" s="140">
        <f>SUM(J73:J76)</f>
        <v>460000</v>
      </c>
      <c r="K77" s="189"/>
      <c r="L77" s="142"/>
      <c r="M77" s="142"/>
      <c r="N77" s="73"/>
      <c r="O77" s="73"/>
      <c r="P77" s="73"/>
      <c r="Q77" s="93">
        <f>SUM(Q73:Q76)</f>
        <v>460000</v>
      </c>
      <c r="R77" s="93">
        <f t="shared" ref="R77:T77" si="35">SUM(R73:R76)</f>
        <v>0</v>
      </c>
      <c r="S77" s="93">
        <f t="shared" si="35"/>
        <v>0</v>
      </c>
      <c r="T77" s="93" t="e">
        <f t="shared" si="35"/>
        <v>#REF!</v>
      </c>
      <c r="U77" s="3"/>
      <c r="V77" s="93">
        <f>SUM(V73:V76)</f>
        <v>0</v>
      </c>
    </row>
    <row r="78" spans="1:24" s="13" customFormat="1" ht="15" x14ac:dyDescent="0.25">
      <c r="A78" s="1"/>
      <c r="B78" s="8"/>
      <c r="C78" s="53"/>
      <c r="D78" s="118"/>
      <c r="E78" s="118"/>
      <c r="F78" s="118"/>
      <c r="G78" s="118"/>
      <c r="H78" s="122"/>
      <c r="I78" s="141"/>
      <c r="J78" s="130"/>
      <c r="K78" s="92"/>
      <c r="L78" s="73"/>
      <c r="M78" s="73"/>
      <c r="N78" s="73"/>
      <c r="O78" s="73"/>
      <c r="P78" s="73"/>
      <c r="Q78" s="6"/>
      <c r="R78" s="6"/>
      <c r="S78" s="6"/>
      <c r="T78" s="6"/>
      <c r="U78" s="20"/>
      <c r="V78" s="28"/>
    </row>
    <row r="79" spans="1:24" s="13" customFormat="1" ht="15" x14ac:dyDescent="0.25">
      <c r="A79" s="1"/>
      <c r="B79" s="1"/>
      <c r="C79" s="26"/>
      <c r="D79" s="32"/>
      <c r="E79" s="32"/>
      <c r="F79" s="32"/>
      <c r="G79" s="32"/>
      <c r="H79" s="34"/>
      <c r="I79" s="106"/>
      <c r="J79" s="106"/>
      <c r="K79" s="92"/>
      <c r="L79" s="73"/>
      <c r="M79" s="73"/>
      <c r="N79" s="73"/>
      <c r="O79" s="73"/>
      <c r="P79" s="73"/>
      <c r="Q79" s="6"/>
      <c r="R79" s="6"/>
      <c r="S79" s="6"/>
      <c r="T79" s="6"/>
      <c r="U79" s="20"/>
      <c r="V79" s="28"/>
    </row>
    <row r="80" spans="1:24" s="13" customFormat="1" ht="15.75" thickBot="1" x14ac:dyDescent="0.3">
      <c r="A80" s="1"/>
      <c r="B80" s="104" t="s">
        <v>222</v>
      </c>
      <c r="C80" s="10" t="s">
        <v>223</v>
      </c>
      <c r="D80" s="123"/>
      <c r="E80" s="40" t="e">
        <f>+G80-F80</f>
        <v>#REF!</v>
      </c>
      <c r="F80" s="139" t="e">
        <f>+#REF!</f>
        <v>#REF!</v>
      </c>
      <c r="G80" s="123">
        <v>43000</v>
      </c>
      <c r="H80" s="137"/>
      <c r="I80" s="102"/>
      <c r="J80" s="102"/>
      <c r="K80" s="41">
        <f>+G80</f>
        <v>43000</v>
      </c>
      <c r="L80" s="92"/>
      <c r="M80" s="92"/>
      <c r="N80" s="92"/>
      <c r="O80" s="73"/>
      <c r="P80" s="73"/>
      <c r="Q80" s="193">
        <v>43000</v>
      </c>
      <c r="R80" s="6">
        <v>0</v>
      </c>
      <c r="S80" s="6">
        <v>0</v>
      </c>
      <c r="T80" s="2" t="e">
        <f t="shared" ref="T80" si="36">Q80+R80+S80-F80</f>
        <v>#REF!</v>
      </c>
      <c r="U80" s="107"/>
      <c r="V80" s="6">
        <f>(Q80+R80+S80)-(K80)</f>
        <v>0</v>
      </c>
    </row>
    <row r="81" spans="1:22" s="13" customFormat="1" ht="15.75" thickBot="1" x14ac:dyDescent="0.3">
      <c r="A81" s="112"/>
      <c r="B81" s="113"/>
      <c r="C81" s="114" t="s">
        <v>241</v>
      </c>
      <c r="D81" s="115"/>
      <c r="E81" s="70" t="e">
        <f t="shared" ref="E81:K81" si="37">SUM(E80:E80)</f>
        <v>#REF!</v>
      </c>
      <c r="F81" s="70" t="e">
        <f t="shared" si="37"/>
        <v>#REF!</v>
      </c>
      <c r="G81" s="70">
        <f t="shared" si="37"/>
        <v>43000</v>
      </c>
      <c r="H81" s="70">
        <f t="shared" si="37"/>
        <v>0</v>
      </c>
      <c r="I81" s="70">
        <f t="shared" si="37"/>
        <v>0</v>
      </c>
      <c r="J81" s="70">
        <f t="shared" si="37"/>
        <v>0</v>
      </c>
      <c r="K81" s="70">
        <f t="shared" si="37"/>
        <v>43000</v>
      </c>
      <c r="L81" s="97"/>
      <c r="M81" s="97"/>
      <c r="N81" s="97"/>
      <c r="O81" s="73"/>
      <c r="P81" s="73"/>
      <c r="Q81" s="93">
        <f>SUM(Q80:Q80)</f>
        <v>43000</v>
      </c>
      <c r="R81" s="93">
        <f>SUM(R80:R80)</f>
        <v>0</v>
      </c>
      <c r="S81" s="93">
        <f>SUM(S80:S80)</f>
        <v>0</v>
      </c>
      <c r="T81" s="93" t="e">
        <f>SUM(T80:T80)</f>
        <v>#REF!</v>
      </c>
      <c r="U81" s="20"/>
      <c r="V81" s="93">
        <f>SUM(V80:V80)</f>
        <v>0</v>
      </c>
    </row>
    <row r="82" spans="1:22" s="13" customFormat="1" ht="15" x14ac:dyDescent="0.25">
      <c r="A82" s="1"/>
      <c r="B82" s="8"/>
      <c r="C82" s="53"/>
      <c r="D82" s="118"/>
      <c r="E82" s="118"/>
      <c r="F82" s="118"/>
      <c r="G82" s="118"/>
      <c r="H82" s="122"/>
      <c r="I82" s="142"/>
      <c r="J82" s="142"/>
      <c r="K82" s="142"/>
      <c r="L82" s="73"/>
      <c r="M82" s="101"/>
      <c r="N82" s="101"/>
      <c r="O82" s="73"/>
      <c r="P82" s="73"/>
      <c r="Q82" s="6"/>
      <c r="R82" s="6"/>
      <c r="S82" s="6"/>
      <c r="T82" s="6"/>
      <c r="U82" s="20"/>
      <c r="V82" s="28"/>
    </row>
    <row r="83" spans="1:22" s="13" customFormat="1" ht="15" x14ac:dyDescent="0.25">
      <c r="A83" s="1"/>
      <c r="B83" s="1"/>
      <c r="C83" s="26"/>
      <c r="D83" s="32"/>
      <c r="E83" s="32"/>
      <c r="F83" s="32"/>
      <c r="G83" s="32"/>
      <c r="H83" s="34"/>
      <c r="I83" s="73"/>
      <c r="J83" s="73"/>
      <c r="K83" s="73"/>
      <c r="L83" s="73"/>
      <c r="M83" s="101"/>
      <c r="N83" s="101"/>
      <c r="O83" s="73"/>
      <c r="P83" s="73"/>
      <c r="Q83" s="6"/>
      <c r="R83" s="6"/>
      <c r="S83" s="6"/>
      <c r="T83" s="6"/>
      <c r="U83" s="20"/>
      <c r="V83" s="28"/>
    </row>
    <row r="84" spans="1:22" s="13" customFormat="1" ht="15" x14ac:dyDescent="0.25">
      <c r="A84" s="1" t="s">
        <v>257</v>
      </c>
      <c r="B84" s="20" t="s">
        <v>305</v>
      </c>
      <c r="C84" s="20" t="s">
        <v>242</v>
      </c>
      <c r="D84" s="73"/>
      <c r="E84" s="73" t="e">
        <f>G84-F84</f>
        <v>#REF!</v>
      </c>
      <c r="F84" s="73" t="e">
        <f>+#REF!</f>
        <v>#REF!</v>
      </c>
      <c r="G84" s="73">
        <v>158520.79</v>
      </c>
      <c r="H84" s="73"/>
      <c r="I84" s="73"/>
      <c r="J84" s="73"/>
      <c r="K84" s="73"/>
      <c r="L84" s="73"/>
      <c r="M84" s="84">
        <f>+G84</f>
        <v>158520.79</v>
      </c>
      <c r="N84" s="73"/>
      <c r="O84" s="73"/>
      <c r="P84" s="73"/>
      <c r="Q84" s="193">
        <v>0</v>
      </c>
      <c r="R84" s="193">
        <v>100000</v>
      </c>
      <c r="S84" s="193">
        <v>58000</v>
      </c>
      <c r="T84" s="2" t="e">
        <f t="shared" ref="T84:T85" si="38">Q84+R84+S84-F84</f>
        <v>#REF!</v>
      </c>
      <c r="U84" s="20"/>
      <c r="V84" s="6">
        <f>(Q84+R84+S84)-(M84)</f>
        <v>-520.79000000000815</v>
      </c>
    </row>
    <row r="85" spans="1:22" s="13" customFormat="1" ht="15" x14ac:dyDescent="0.25">
      <c r="A85" s="20"/>
      <c r="B85" s="20" t="s">
        <v>385</v>
      </c>
      <c r="C85" s="20" t="s">
        <v>243</v>
      </c>
      <c r="D85" s="73"/>
      <c r="E85" s="73" t="e">
        <f>G85-F85</f>
        <v>#REF!</v>
      </c>
      <c r="F85" s="73" t="e">
        <f>+#REF!</f>
        <v>#REF!</v>
      </c>
      <c r="G85" s="73">
        <v>101924.01</v>
      </c>
      <c r="H85" s="73"/>
      <c r="I85" s="106"/>
      <c r="J85" s="106"/>
      <c r="K85" s="106"/>
      <c r="L85" s="106"/>
      <c r="M85" s="73"/>
      <c r="N85" s="84">
        <f>+G85</f>
        <v>101924.01</v>
      </c>
      <c r="O85" s="73"/>
      <c r="P85" s="73"/>
      <c r="Q85" s="193">
        <v>0</v>
      </c>
      <c r="R85" s="193">
        <v>101000</v>
      </c>
      <c r="S85" s="6">
        <v>0</v>
      </c>
      <c r="T85" s="2" t="e">
        <f t="shared" si="38"/>
        <v>#REF!</v>
      </c>
      <c r="U85" s="20"/>
      <c r="V85" s="6">
        <f>(Q85+R85+S85)-(N85)</f>
        <v>-924.00999999999476</v>
      </c>
    </row>
    <row r="86" spans="1:22" s="13" customFormat="1" ht="15.75" thickBot="1" x14ac:dyDescent="0.3">
      <c r="A86" s="20"/>
      <c r="B86" s="94"/>
      <c r="C86" s="94"/>
      <c r="D86" s="102"/>
      <c r="E86" s="102"/>
      <c r="F86" s="102"/>
      <c r="G86" s="102"/>
      <c r="H86" s="102"/>
      <c r="I86" s="138"/>
      <c r="J86" s="138"/>
      <c r="K86" s="138"/>
      <c r="L86" s="138"/>
      <c r="M86" s="138"/>
      <c r="N86" s="143"/>
      <c r="O86" s="73"/>
      <c r="P86" s="73"/>
      <c r="Q86" s="93">
        <f>SUM(Q84:Q85)</f>
        <v>0</v>
      </c>
      <c r="R86" s="93">
        <f t="shared" ref="R86:V86" si="39">SUM(R84:R85)</f>
        <v>201000</v>
      </c>
      <c r="S86" s="93">
        <f t="shared" si="39"/>
        <v>58000</v>
      </c>
      <c r="T86" s="93" t="e">
        <f t="shared" si="39"/>
        <v>#REF!</v>
      </c>
      <c r="U86" s="20"/>
      <c r="V86" s="93">
        <f t="shared" si="39"/>
        <v>-1444.8000000000029</v>
      </c>
    </row>
    <row r="87" spans="1:22" s="13" customFormat="1" ht="15.75" thickBot="1" x14ac:dyDescent="0.3">
      <c r="A87" s="67"/>
      <c r="B87" s="68"/>
      <c r="C87" s="69" t="s">
        <v>244</v>
      </c>
      <c r="D87" s="70"/>
      <c r="E87" s="70" t="e">
        <f t="shared" ref="E87:N87" si="40">+E85+E84+E81+E77+E70+E62</f>
        <v>#REF!</v>
      </c>
      <c r="F87" s="70" t="e">
        <f t="shared" si="40"/>
        <v>#REF!</v>
      </c>
      <c r="G87" s="70">
        <f t="shared" si="40"/>
        <v>1110439.99</v>
      </c>
      <c r="H87" s="70">
        <f t="shared" si="40"/>
        <v>195752.74000000002</v>
      </c>
      <c r="I87" s="70">
        <f t="shared" si="40"/>
        <v>89185.449999999983</v>
      </c>
      <c r="J87" s="70">
        <f t="shared" si="40"/>
        <v>460000</v>
      </c>
      <c r="K87" s="70">
        <f t="shared" si="40"/>
        <v>43000</v>
      </c>
      <c r="L87" s="70">
        <f t="shared" si="40"/>
        <v>0</v>
      </c>
      <c r="M87" s="70">
        <f t="shared" si="40"/>
        <v>158520.79</v>
      </c>
      <c r="N87" s="91">
        <f t="shared" si="40"/>
        <v>101924.01</v>
      </c>
      <c r="O87" s="101"/>
      <c r="P87" s="102"/>
      <c r="Q87" s="206">
        <f>Q62+Q70+Q77+Q81+Q86</f>
        <v>735000</v>
      </c>
      <c r="R87" s="206">
        <f>R62+R70+R77+R81+R86</f>
        <v>408000</v>
      </c>
      <c r="S87" s="206">
        <f>S62+S70+S77+S81+S86</f>
        <v>58000</v>
      </c>
      <c r="T87" s="74" t="e">
        <f>T62+T70+T77+T81+T86</f>
        <v>#REF!</v>
      </c>
      <c r="U87" s="26"/>
      <c r="V87" s="75">
        <f>V62+V70+V77+V81+V86</f>
        <v>48628.210000000006</v>
      </c>
    </row>
    <row r="88" spans="1:22" s="13" customFormat="1" ht="15" x14ac:dyDescent="0.25">
      <c r="A88" s="20"/>
      <c r="B88" s="77"/>
      <c r="C88" s="53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3"/>
      <c r="P88" s="73"/>
      <c r="Q88" s="93"/>
      <c r="R88" s="93"/>
      <c r="S88" s="93"/>
      <c r="T88" s="93"/>
      <c r="U88" s="20"/>
      <c r="V88" s="6"/>
    </row>
    <row r="89" spans="1:22" s="13" customFormat="1" ht="16.5" customHeight="1" x14ac:dyDescent="0.25">
      <c r="A89" s="20"/>
      <c r="B89" s="20"/>
      <c r="C89" s="20"/>
      <c r="D89" s="73"/>
      <c r="E89" s="73"/>
      <c r="F89" s="73"/>
      <c r="G89" s="73"/>
      <c r="H89" s="80"/>
      <c r="I89" s="73"/>
      <c r="J89" s="73"/>
      <c r="K89" s="73"/>
      <c r="L89" s="73"/>
      <c r="M89" s="73"/>
      <c r="N89" s="73"/>
      <c r="O89" s="73"/>
      <c r="P89" s="73"/>
      <c r="Q89" s="217" t="s">
        <v>268</v>
      </c>
      <c r="R89" s="217"/>
      <c r="S89" s="217"/>
      <c r="T89" s="21" t="s">
        <v>279</v>
      </c>
      <c r="U89" s="20"/>
      <c r="V89" s="28"/>
    </row>
    <row r="90" spans="1:22" s="13" customFormat="1" ht="30" x14ac:dyDescent="0.25">
      <c r="A90" s="20"/>
      <c r="B90" s="20"/>
      <c r="C90" s="26" t="s">
        <v>245</v>
      </c>
      <c r="D90" s="103"/>
      <c r="E90" s="80" t="s">
        <v>342</v>
      </c>
      <c r="F90" s="80" t="s">
        <v>342</v>
      </c>
      <c r="G90" s="80" t="s">
        <v>342</v>
      </c>
      <c r="H90" s="80" t="s">
        <v>27</v>
      </c>
      <c r="I90" s="80" t="s">
        <v>31</v>
      </c>
      <c r="J90" s="82" t="s">
        <v>220</v>
      </c>
      <c r="K90" s="82" t="s">
        <v>280</v>
      </c>
      <c r="L90" s="80" t="s">
        <v>265</v>
      </c>
      <c r="M90" s="80" t="s">
        <v>266</v>
      </c>
      <c r="N90" s="82" t="s">
        <v>221</v>
      </c>
      <c r="O90" s="80" t="s">
        <v>179</v>
      </c>
      <c r="P90" s="83" t="s">
        <v>343</v>
      </c>
      <c r="Q90" s="21" t="s">
        <v>271</v>
      </c>
      <c r="R90" s="21" t="s">
        <v>306</v>
      </c>
      <c r="S90" s="21" t="s">
        <v>344</v>
      </c>
      <c r="T90" s="26"/>
      <c r="U90" s="20"/>
      <c r="V90" s="28"/>
    </row>
    <row r="91" spans="1:22" s="13" customFormat="1" ht="15" collapsed="1" x14ac:dyDescent="0.25">
      <c r="A91" s="20" t="s">
        <v>255</v>
      </c>
      <c r="B91" s="20" t="s">
        <v>246</v>
      </c>
      <c r="C91" s="144" t="s">
        <v>247</v>
      </c>
      <c r="D91" s="145"/>
      <c r="E91" s="29" t="e">
        <f t="shared" ref="E91:E94" si="41">+G91-F91</f>
        <v>#REF!</v>
      </c>
      <c r="F91" s="29" t="e">
        <f>+#REF!</f>
        <v>#REF!</v>
      </c>
      <c r="G91" s="133">
        <v>7000</v>
      </c>
      <c r="H91" s="133">
        <v>7000</v>
      </c>
      <c r="I91" s="73"/>
      <c r="J91" s="73"/>
      <c r="K91" s="73"/>
      <c r="L91" s="73"/>
      <c r="M91" s="73"/>
      <c r="N91" s="73"/>
      <c r="O91" s="73"/>
      <c r="P91" s="73"/>
      <c r="Q91" s="193">
        <v>8000</v>
      </c>
      <c r="R91" s="6">
        <v>0</v>
      </c>
      <c r="S91" s="6">
        <v>0</v>
      </c>
      <c r="T91" s="2" t="e">
        <f t="shared" ref="T91:T94" si="42">Q91+R91+S91-F91</f>
        <v>#REF!</v>
      </c>
      <c r="U91" s="20"/>
      <c r="V91" s="6">
        <f>(Q91+R91+S91)-(H91)</f>
        <v>1000</v>
      </c>
    </row>
    <row r="92" spans="1:22" s="13" customFormat="1" ht="15" x14ac:dyDescent="0.25">
      <c r="A92" s="20" t="s">
        <v>255</v>
      </c>
      <c r="B92" s="20" t="s">
        <v>248</v>
      </c>
      <c r="C92" s="3" t="s">
        <v>249</v>
      </c>
      <c r="D92" s="190"/>
      <c r="E92" s="29" t="e">
        <f t="shared" si="41"/>
        <v>#REF!</v>
      </c>
      <c r="F92" s="40" t="e">
        <f>+#REF!</f>
        <v>#REF!</v>
      </c>
      <c r="G92" s="139">
        <f>1145.65+0.19</f>
        <v>1145.8400000000001</v>
      </c>
      <c r="H92" s="139"/>
      <c r="I92" s="102"/>
      <c r="J92" s="73"/>
      <c r="K92" s="73"/>
      <c r="L92" s="73"/>
      <c r="M92" s="73"/>
      <c r="N92" s="73"/>
      <c r="O92" s="73"/>
      <c r="P92" s="73"/>
      <c r="Q92" s="205">
        <f>3000-1577.73</f>
        <v>1422.27</v>
      </c>
      <c r="R92" s="6"/>
      <c r="S92" s="6"/>
      <c r="T92" s="2"/>
      <c r="U92" s="20"/>
      <c r="V92" s="6"/>
    </row>
    <row r="93" spans="1:22" s="13" customFormat="1" ht="15" x14ac:dyDescent="0.25">
      <c r="A93" s="20" t="s">
        <v>255</v>
      </c>
      <c r="B93" s="192"/>
      <c r="C93" s="191" t="s">
        <v>395</v>
      </c>
      <c r="D93" s="190"/>
      <c r="E93" s="40"/>
      <c r="F93" s="40"/>
      <c r="G93" s="139">
        <v>2000</v>
      </c>
      <c r="H93" s="139"/>
      <c r="I93" s="102"/>
      <c r="J93" s="73"/>
      <c r="K93" s="73"/>
      <c r="L93" s="73"/>
      <c r="M93" s="73"/>
      <c r="N93" s="73"/>
      <c r="O93" s="73"/>
      <c r="P93" s="73"/>
      <c r="Q93" s="183"/>
      <c r="R93" s="6"/>
      <c r="S93" s="6"/>
      <c r="T93" s="2"/>
      <c r="U93" s="20"/>
      <c r="V93" s="6"/>
    </row>
    <row r="94" spans="1:22" s="13" customFormat="1" ht="15.75" thickBot="1" x14ac:dyDescent="0.3">
      <c r="A94" s="20" t="s">
        <v>255</v>
      </c>
      <c r="B94" s="94" t="s">
        <v>192</v>
      </c>
      <c r="C94" s="146" t="s">
        <v>250</v>
      </c>
      <c r="D94" s="138"/>
      <c r="E94" s="40" t="e">
        <f t="shared" si="41"/>
        <v>#REF!</v>
      </c>
      <c r="F94" s="40" t="e">
        <f>+#REF!</f>
        <v>#REF!</v>
      </c>
      <c r="G94" s="139">
        <v>2000</v>
      </c>
      <c r="H94" s="139">
        <v>2000</v>
      </c>
      <c r="I94" s="102"/>
      <c r="J94" s="73"/>
      <c r="K94" s="73"/>
      <c r="L94" s="73"/>
      <c r="M94" s="73"/>
      <c r="N94" s="73"/>
      <c r="O94" s="73"/>
      <c r="P94" s="73"/>
      <c r="Q94" s="6">
        <v>0</v>
      </c>
      <c r="R94" s="6">
        <v>0</v>
      </c>
      <c r="S94" s="6">
        <v>0</v>
      </c>
      <c r="T94" s="2" t="e">
        <f t="shared" si="42"/>
        <v>#REF!</v>
      </c>
      <c r="U94" s="20" t="s">
        <v>273</v>
      </c>
      <c r="V94" s="6">
        <f>(Q94+R94+S94)-(H94)</f>
        <v>-2000</v>
      </c>
    </row>
    <row r="95" spans="1:22" s="13" customFormat="1" ht="15.75" thickBot="1" x14ac:dyDescent="0.3">
      <c r="A95" s="95"/>
      <c r="B95" s="46"/>
      <c r="C95" s="147" t="s">
        <v>251</v>
      </c>
      <c r="D95" s="148"/>
      <c r="E95" s="149" t="e">
        <f>SUM(E91:E94)</f>
        <v>#REF!</v>
      </c>
      <c r="F95" s="149" t="e">
        <f>SUM(F91:F94)</f>
        <v>#REF!</v>
      </c>
      <c r="G95" s="149">
        <f>SUM(G91:G94)</f>
        <v>12145.84</v>
      </c>
      <c r="H95" s="140">
        <f>SUM(H91:H94)</f>
        <v>9000</v>
      </c>
      <c r="I95" s="92"/>
      <c r="J95" s="73"/>
      <c r="K95" s="73"/>
      <c r="L95" s="73"/>
      <c r="M95" s="73"/>
      <c r="N95" s="73"/>
      <c r="O95" s="73"/>
      <c r="P95" s="73"/>
      <c r="Q95" s="93">
        <f>SUM(Q91:Q94)</f>
        <v>9422.27</v>
      </c>
      <c r="R95" s="93">
        <f>SUM(R91:R94)</f>
        <v>0</v>
      </c>
      <c r="S95" s="93">
        <f>SUM(S91:S94)</f>
        <v>0</v>
      </c>
      <c r="T95" s="93" t="e">
        <f>SUM(T91:T94)</f>
        <v>#REF!</v>
      </c>
      <c r="U95" s="20"/>
      <c r="V95" s="93">
        <f>SUM(V91:V94)</f>
        <v>-1000</v>
      </c>
    </row>
    <row r="96" spans="1:22" s="13" customFormat="1" ht="15" x14ac:dyDescent="0.25">
      <c r="A96" s="20"/>
      <c r="B96" s="52"/>
      <c r="C96" s="53"/>
      <c r="D96" s="141"/>
      <c r="E96" s="141"/>
      <c r="F96" s="141"/>
      <c r="G96" s="141"/>
      <c r="H96" s="119"/>
      <c r="I96" s="89"/>
      <c r="J96" s="73"/>
      <c r="K96" s="73"/>
      <c r="L96" s="73"/>
      <c r="M96" s="73"/>
      <c r="N96" s="73"/>
      <c r="O96" s="73"/>
      <c r="P96" s="73"/>
      <c r="Q96" s="6"/>
      <c r="R96" s="6"/>
      <c r="S96" s="6"/>
      <c r="T96" s="6"/>
      <c r="U96" s="20"/>
      <c r="V96" s="28"/>
    </row>
    <row r="97" spans="1:22" s="13" customFormat="1" ht="15" x14ac:dyDescent="0.25">
      <c r="A97" s="20"/>
      <c r="B97" s="36"/>
      <c r="C97" s="26"/>
      <c r="D97" s="106"/>
      <c r="E97" s="106"/>
      <c r="F97" s="106"/>
      <c r="G97" s="106"/>
      <c r="H97" s="120"/>
      <c r="I97" s="89"/>
      <c r="J97" s="73"/>
      <c r="K97" s="73"/>
      <c r="L97" s="73"/>
      <c r="M97" s="73"/>
      <c r="N97" s="73"/>
      <c r="O97" s="73"/>
      <c r="P97" s="73"/>
      <c r="Q97" s="6"/>
      <c r="R97" s="6"/>
      <c r="S97" s="6"/>
      <c r="T97" s="6"/>
      <c r="U97" s="20"/>
      <c r="V97" s="28"/>
    </row>
    <row r="98" spans="1:22" s="13" customFormat="1" ht="15" x14ac:dyDescent="0.25">
      <c r="A98" s="20" t="s">
        <v>163</v>
      </c>
      <c r="B98" s="20" t="s">
        <v>248</v>
      </c>
      <c r="C98" s="3" t="s">
        <v>249</v>
      </c>
      <c r="D98" s="73"/>
      <c r="E98" s="29" t="e">
        <f t="shared" ref="E98:E99" si="43">+G98-F98</f>
        <v>#REF!</v>
      </c>
      <c r="F98" s="73" t="e">
        <f>+#REF!</f>
        <v>#REF!</v>
      </c>
      <c r="G98" s="133">
        <f>2723.38-1145.65</f>
        <v>1577.73</v>
      </c>
      <c r="H98" s="34"/>
      <c r="I98" s="89">
        <f>+G98</f>
        <v>1577.73</v>
      </c>
      <c r="J98" s="73"/>
      <c r="K98" s="73"/>
      <c r="L98" s="73"/>
      <c r="M98" s="73"/>
      <c r="N98" s="73"/>
      <c r="O98" s="73"/>
      <c r="P98" s="73"/>
      <c r="Q98" s="205">
        <v>1577.73</v>
      </c>
      <c r="R98" s="6">
        <v>0</v>
      </c>
      <c r="S98" s="6">
        <v>0</v>
      </c>
      <c r="T98" s="2" t="e">
        <f>Q98+R98+S98-F98</f>
        <v>#REF!</v>
      </c>
      <c r="U98" s="20"/>
      <c r="V98" s="6">
        <f>(Q98+R98+S98)-(I98)</f>
        <v>0</v>
      </c>
    </row>
    <row r="99" spans="1:22" s="13" customFormat="1" ht="15" customHeight="1" thickBot="1" x14ac:dyDescent="0.3">
      <c r="A99" s="20" t="s">
        <v>163</v>
      </c>
      <c r="B99" s="45" t="s">
        <v>350</v>
      </c>
      <c r="C99" s="146" t="s">
        <v>252</v>
      </c>
      <c r="D99" s="138"/>
      <c r="E99" s="40" t="e">
        <f t="shared" si="43"/>
        <v>#REF!</v>
      </c>
      <c r="F99" s="102" t="e">
        <f>+#REF!</f>
        <v>#REF!</v>
      </c>
      <c r="G99" s="139">
        <v>10000</v>
      </c>
      <c r="H99" s="137"/>
      <c r="I99" s="143">
        <f>+G99</f>
        <v>10000</v>
      </c>
      <c r="J99" s="102"/>
      <c r="K99" s="73"/>
      <c r="L99" s="73"/>
      <c r="M99" s="73"/>
      <c r="N99" s="73"/>
      <c r="O99" s="73"/>
      <c r="P99" s="73"/>
      <c r="Q99" s="193">
        <v>10000</v>
      </c>
      <c r="R99" s="6">
        <v>0</v>
      </c>
      <c r="S99" s="6">
        <v>0</v>
      </c>
      <c r="T99" s="2" t="e">
        <f t="shared" ref="T99" si="44">Q99+R99+S99-F99</f>
        <v>#REF!</v>
      </c>
      <c r="U99" s="20"/>
      <c r="V99" s="6">
        <f>(Q99+R99+S99)-(I99)</f>
        <v>0</v>
      </c>
    </row>
    <row r="100" spans="1:22" s="13" customFormat="1" ht="15.75" thickBot="1" x14ac:dyDescent="0.3">
      <c r="A100" s="95"/>
      <c r="B100" s="46"/>
      <c r="C100" s="147" t="s">
        <v>217</v>
      </c>
      <c r="D100" s="148"/>
      <c r="E100" s="149" t="e">
        <f>SUM(E98:E99)</f>
        <v>#REF!</v>
      </c>
      <c r="F100" s="149" t="e">
        <f>SUM(F98:F99)</f>
        <v>#REF!</v>
      </c>
      <c r="G100" s="149">
        <f>SUM(G98:G99)</f>
        <v>11577.73</v>
      </c>
      <c r="H100" s="149">
        <f>SUM(H98:H99)</f>
        <v>0</v>
      </c>
      <c r="I100" s="96">
        <f>SUM(I98:I99)</f>
        <v>11577.73</v>
      </c>
      <c r="J100" s="97"/>
      <c r="K100" s="73"/>
      <c r="L100" s="73"/>
      <c r="M100" s="73"/>
      <c r="N100" s="73"/>
      <c r="O100" s="73"/>
      <c r="P100" s="73"/>
      <c r="Q100" s="93">
        <f>SUM(Q98:Q99)</f>
        <v>11577.73</v>
      </c>
      <c r="R100" s="93">
        <f>SUM(R98:R99)</f>
        <v>0</v>
      </c>
      <c r="S100" s="93">
        <f>SUM(S98:S99)</f>
        <v>0</v>
      </c>
      <c r="T100" s="93" t="e">
        <f>SUM(T98:T99)</f>
        <v>#REF!</v>
      </c>
      <c r="U100" s="20"/>
      <c r="V100" s="93">
        <f>SUM(V98:V99)</f>
        <v>0</v>
      </c>
    </row>
    <row r="101" spans="1:22" s="13" customFormat="1" ht="15" x14ac:dyDescent="0.25">
      <c r="A101" s="20"/>
      <c r="B101" s="20"/>
      <c r="C101" s="53"/>
      <c r="D101" s="141"/>
      <c r="E101" s="141"/>
      <c r="F101" s="141"/>
      <c r="G101" s="141"/>
      <c r="H101" s="122"/>
      <c r="I101" s="98"/>
      <c r="J101" s="73"/>
      <c r="K101" s="142"/>
      <c r="L101" s="73"/>
      <c r="M101" s="73"/>
      <c r="N101" s="73"/>
      <c r="O101" s="73"/>
      <c r="P101" s="73"/>
      <c r="Q101" s="6"/>
      <c r="R101" s="6"/>
      <c r="S101" s="6"/>
      <c r="T101" s="6"/>
      <c r="U101" s="20"/>
      <c r="V101" s="28"/>
    </row>
    <row r="102" spans="1:22" s="13" customFormat="1" ht="15.75" thickBot="1" x14ac:dyDescent="0.3">
      <c r="A102" s="20"/>
      <c r="B102" s="45"/>
      <c r="C102" s="99"/>
      <c r="D102" s="138"/>
      <c r="E102" s="138"/>
      <c r="F102" s="138"/>
      <c r="G102" s="138"/>
      <c r="H102" s="137"/>
      <c r="I102" s="143"/>
      <c r="J102" s="73"/>
      <c r="K102" s="142"/>
      <c r="L102" s="73"/>
      <c r="M102" s="73"/>
      <c r="N102" s="73"/>
      <c r="O102" s="73"/>
      <c r="P102" s="73"/>
      <c r="Q102" s="6"/>
      <c r="R102" s="6"/>
      <c r="S102" s="6"/>
      <c r="T102" s="6"/>
      <c r="U102" s="20"/>
      <c r="V102" s="28"/>
    </row>
    <row r="103" spans="1:22" s="13" customFormat="1" ht="19.5" customHeight="1" thickBot="1" x14ac:dyDescent="0.3">
      <c r="A103" s="95"/>
      <c r="B103" s="68"/>
      <c r="C103" s="69" t="s">
        <v>253</v>
      </c>
      <c r="D103" s="70"/>
      <c r="E103" s="70" t="e">
        <f>+E100+E95</f>
        <v>#REF!</v>
      </c>
      <c r="F103" s="70" t="e">
        <f t="shared" ref="F103:I103" si="45">+F100+F95</f>
        <v>#REF!</v>
      </c>
      <c r="G103" s="70">
        <f t="shared" si="45"/>
        <v>23723.57</v>
      </c>
      <c r="H103" s="70">
        <f t="shared" si="45"/>
        <v>9000</v>
      </c>
      <c r="I103" s="91">
        <f t="shared" si="45"/>
        <v>11577.73</v>
      </c>
      <c r="J103" s="97"/>
      <c r="K103" s="73"/>
      <c r="L103" s="73"/>
      <c r="M103" s="73"/>
      <c r="N103" s="73"/>
      <c r="O103" s="73"/>
      <c r="P103" s="73"/>
      <c r="Q103" s="206">
        <f>Q100+Q95</f>
        <v>21000</v>
      </c>
      <c r="R103" s="74">
        <f>R100+R95</f>
        <v>0</v>
      </c>
      <c r="S103" s="74">
        <f>S100+S95</f>
        <v>0</v>
      </c>
      <c r="T103" s="74" t="e">
        <f>T100+T95</f>
        <v>#REF!</v>
      </c>
      <c r="U103" s="26"/>
      <c r="V103" s="75">
        <f>V100+V95</f>
        <v>-1000</v>
      </c>
    </row>
    <row r="104" spans="1:22" s="13" customFormat="1" ht="19.5" customHeight="1" thickBot="1" x14ac:dyDescent="0.3">
      <c r="A104" s="20"/>
      <c r="B104" s="150"/>
      <c r="C104" s="151"/>
      <c r="D104" s="152"/>
      <c r="E104" s="152"/>
      <c r="F104" s="152"/>
      <c r="G104" s="152"/>
      <c r="H104" s="152"/>
      <c r="I104" s="153"/>
      <c r="J104" s="102"/>
      <c r="K104" s="102"/>
      <c r="L104" s="102"/>
      <c r="M104" s="102"/>
      <c r="N104" s="102"/>
      <c r="O104" s="102"/>
      <c r="P104" s="102"/>
      <c r="Q104" s="154"/>
      <c r="R104" s="154"/>
      <c r="S104" s="154"/>
      <c r="T104" s="154"/>
      <c r="U104" s="94"/>
      <c r="V104" s="155"/>
    </row>
    <row r="105" spans="1:22" s="13" customFormat="1" ht="19.5" customHeight="1" thickBot="1" x14ac:dyDescent="0.3">
      <c r="A105" s="95"/>
      <c r="B105" s="68"/>
      <c r="C105" s="69" t="s">
        <v>351</v>
      </c>
      <c r="D105" s="70"/>
      <c r="E105" s="70" t="e">
        <f t="shared" ref="E105:T105" si="46">+E103+E87+E49+E24</f>
        <v>#REF!</v>
      </c>
      <c r="F105" s="70" t="e">
        <f t="shared" si="46"/>
        <v>#REF!</v>
      </c>
      <c r="G105" s="70">
        <f t="shared" si="46"/>
        <v>1770003.61</v>
      </c>
      <c r="H105" s="70">
        <f t="shared" si="46"/>
        <v>534065.20000000007</v>
      </c>
      <c r="I105" s="70">
        <f t="shared" si="46"/>
        <v>235702.00999999998</v>
      </c>
      <c r="J105" s="70">
        <f t="shared" si="46"/>
        <v>460000</v>
      </c>
      <c r="K105" s="70">
        <f t="shared" si="46"/>
        <v>43000</v>
      </c>
      <c r="L105" s="70">
        <f t="shared" si="46"/>
        <v>171588.76</v>
      </c>
      <c r="M105" s="70">
        <f t="shared" si="46"/>
        <v>158520.79</v>
      </c>
      <c r="N105" s="70">
        <f t="shared" si="46"/>
        <v>101924.01</v>
      </c>
      <c r="O105" s="70">
        <f t="shared" si="46"/>
        <v>0</v>
      </c>
      <c r="P105" s="70">
        <f t="shared" si="46"/>
        <v>0</v>
      </c>
      <c r="Q105" s="70">
        <f t="shared" si="46"/>
        <v>1250000</v>
      </c>
      <c r="R105" s="70">
        <f t="shared" si="46"/>
        <v>571000</v>
      </c>
      <c r="S105" s="70">
        <f t="shared" si="46"/>
        <v>58000</v>
      </c>
      <c r="T105" s="70" t="e">
        <f t="shared" si="46"/>
        <v>#REF!</v>
      </c>
      <c r="U105" s="156"/>
      <c r="V105" s="157">
        <f>+V103+V87+V49+V24</f>
        <v>34788.159999999996</v>
      </c>
    </row>
    <row r="106" spans="1:22" s="13" customFormat="1" ht="19.5" customHeight="1" x14ac:dyDescent="0.25">
      <c r="A106" s="20"/>
      <c r="B106" s="77"/>
      <c r="C106" s="53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7"/>
      <c r="V106" s="158"/>
    </row>
    <row r="107" spans="1:22" s="13" customFormat="1" ht="19.5" customHeight="1" x14ac:dyDescent="0.25">
      <c r="A107" s="20"/>
      <c r="B107" s="77"/>
      <c r="C107" s="53"/>
      <c r="D107" s="78"/>
      <c r="E107" s="78"/>
      <c r="F107" s="78"/>
      <c r="G107" s="78"/>
      <c r="H107" s="78"/>
      <c r="I107" s="78"/>
      <c r="J107" s="82"/>
      <c r="K107" s="82"/>
      <c r="L107" s="82"/>
      <c r="M107" s="82"/>
      <c r="N107" s="82"/>
      <c r="O107" s="82"/>
      <c r="P107" s="82"/>
      <c r="Q107" s="212" t="s">
        <v>268</v>
      </c>
      <c r="R107" s="213"/>
      <c r="S107" s="214"/>
      <c r="T107" s="6"/>
      <c r="U107" s="20"/>
      <c r="V107" s="28"/>
    </row>
    <row r="108" spans="1:22" s="13" customFormat="1" ht="30" x14ac:dyDescent="0.25">
      <c r="A108" s="20"/>
      <c r="B108" s="20"/>
      <c r="C108" s="26" t="s">
        <v>41</v>
      </c>
      <c r="D108" s="103"/>
      <c r="E108" s="80" t="s">
        <v>342</v>
      </c>
      <c r="F108" s="80" t="s">
        <v>342</v>
      </c>
      <c r="G108" s="80" t="s">
        <v>342</v>
      </c>
      <c r="H108" s="80" t="s">
        <v>27</v>
      </c>
      <c r="I108" s="80" t="s">
        <v>31</v>
      </c>
      <c r="J108" s="82" t="s">
        <v>220</v>
      </c>
      <c r="K108" s="82" t="s">
        <v>280</v>
      </c>
      <c r="L108" s="80" t="s">
        <v>265</v>
      </c>
      <c r="M108" s="80" t="s">
        <v>266</v>
      </c>
      <c r="N108" s="82" t="s">
        <v>221</v>
      </c>
      <c r="O108" s="80" t="s">
        <v>179</v>
      </c>
      <c r="P108" s="83" t="s">
        <v>343</v>
      </c>
      <c r="Q108" s="21" t="s">
        <v>271</v>
      </c>
      <c r="R108" s="21" t="s">
        <v>306</v>
      </c>
      <c r="S108" s="21" t="s">
        <v>344</v>
      </c>
      <c r="T108" s="6"/>
      <c r="U108" s="20"/>
      <c r="V108" s="28"/>
    </row>
    <row r="109" spans="1:22" s="13" customFormat="1" ht="15.75" thickBot="1" x14ac:dyDescent="0.3">
      <c r="A109" s="20" t="s">
        <v>256</v>
      </c>
      <c r="B109" s="77"/>
      <c r="C109" s="77" t="s">
        <v>352</v>
      </c>
      <c r="D109" s="78"/>
      <c r="E109" s="78">
        <f>+G109-F109</f>
        <v>0</v>
      </c>
      <c r="F109" s="78">
        <v>0</v>
      </c>
      <c r="G109" s="78">
        <v>0</v>
      </c>
      <c r="H109" s="78"/>
      <c r="I109" s="78"/>
      <c r="J109" s="82"/>
      <c r="K109" s="82"/>
      <c r="L109" s="82"/>
      <c r="M109" s="82"/>
      <c r="N109" s="82"/>
      <c r="O109" s="82"/>
      <c r="P109" s="82">
        <f>+G109</f>
        <v>0</v>
      </c>
      <c r="Q109" s="6">
        <v>0</v>
      </c>
      <c r="R109" s="6">
        <v>0</v>
      </c>
      <c r="S109" s="6">
        <v>0</v>
      </c>
      <c r="T109" s="2">
        <f>Q109+R109+S109-P109</f>
        <v>0</v>
      </c>
      <c r="U109" s="20"/>
      <c r="V109" s="6">
        <f>(Q109+R109+S109)-(P109)</f>
        <v>0</v>
      </c>
    </row>
    <row r="110" spans="1:22" s="13" customFormat="1" ht="15.75" thickBot="1" x14ac:dyDescent="0.3">
      <c r="B110" s="77"/>
      <c r="C110" s="53"/>
      <c r="D110" s="78"/>
      <c r="E110" s="78"/>
      <c r="F110" s="78"/>
      <c r="G110" s="78"/>
      <c r="H110" s="78"/>
      <c r="I110" s="98"/>
      <c r="J110" s="73"/>
      <c r="K110" s="73"/>
      <c r="L110" s="73"/>
      <c r="M110" s="73"/>
      <c r="N110" s="73"/>
      <c r="O110" s="73"/>
      <c r="P110" s="73"/>
      <c r="Q110" s="74">
        <f t="shared" ref="Q110:S110" si="47">+Q109</f>
        <v>0</v>
      </c>
      <c r="R110" s="74">
        <f t="shared" si="47"/>
        <v>0</v>
      </c>
      <c r="S110" s="74">
        <f t="shared" si="47"/>
        <v>0</v>
      </c>
      <c r="T110" s="74">
        <f>+T109</f>
        <v>0</v>
      </c>
      <c r="U110" s="26"/>
      <c r="V110" s="74">
        <f>+V109</f>
        <v>0</v>
      </c>
    </row>
    <row r="111" spans="1:22" s="13" customFormat="1" ht="15" x14ac:dyDescent="0.25">
      <c r="B111" s="77"/>
      <c r="C111" s="53"/>
      <c r="D111" s="78"/>
      <c r="E111" s="78"/>
      <c r="F111" s="78"/>
      <c r="G111" s="78"/>
      <c r="H111" s="78"/>
      <c r="I111" s="98"/>
      <c r="J111" s="73"/>
      <c r="K111" s="73"/>
      <c r="L111" s="73"/>
      <c r="M111" s="73"/>
      <c r="N111" s="73"/>
      <c r="O111" s="73"/>
      <c r="P111" s="73"/>
      <c r="Q111" s="6"/>
      <c r="R111" s="6"/>
      <c r="S111" s="6"/>
      <c r="T111" s="6"/>
      <c r="U111" s="20"/>
      <c r="V111" s="28"/>
    </row>
    <row r="112" spans="1:22" s="13" customFormat="1" ht="15" x14ac:dyDescent="0.25">
      <c r="A112" s="20"/>
      <c r="B112" s="77"/>
      <c r="C112" s="53"/>
      <c r="D112" s="78"/>
      <c r="E112" s="78"/>
      <c r="F112" s="78"/>
      <c r="G112" s="78"/>
      <c r="H112" s="78"/>
      <c r="I112" s="98"/>
      <c r="J112" s="73"/>
      <c r="K112" s="73"/>
      <c r="L112" s="73"/>
      <c r="M112" s="73"/>
      <c r="N112" s="73"/>
      <c r="O112" s="73"/>
      <c r="P112" s="73"/>
      <c r="Q112" s="212" t="s">
        <v>268</v>
      </c>
      <c r="R112" s="213"/>
      <c r="S112" s="214"/>
      <c r="T112" s="6"/>
      <c r="U112" s="20"/>
      <c r="V112" s="28"/>
    </row>
    <row r="113" spans="1:27" s="13" customFormat="1" ht="30" x14ac:dyDescent="0.25">
      <c r="A113" s="20"/>
      <c r="B113" s="20"/>
      <c r="C113" s="26" t="s">
        <v>114</v>
      </c>
      <c r="D113" s="103"/>
      <c r="E113" s="80" t="s">
        <v>342</v>
      </c>
      <c r="F113" s="80" t="s">
        <v>342</v>
      </c>
      <c r="G113" s="80" t="s">
        <v>342</v>
      </c>
      <c r="H113" s="80" t="s">
        <v>27</v>
      </c>
      <c r="I113" s="80" t="s">
        <v>31</v>
      </c>
      <c r="J113" s="82" t="s">
        <v>220</v>
      </c>
      <c r="K113" s="82" t="s">
        <v>280</v>
      </c>
      <c r="L113" s="80" t="s">
        <v>265</v>
      </c>
      <c r="M113" s="80" t="s">
        <v>266</v>
      </c>
      <c r="N113" s="82" t="s">
        <v>221</v>
      </c>
      <c r="O113" s="80" t="s">
        <v>179</v>
      </c>
      <c r="P113" s="83" t="s">
        <v>343</v>
      </c>
      <c r="Q113" s="21" t="s">
        <v>271</v>
      </c>
      <c r="R113" s="21" t="s">
        <v>306</v>
      </c>
      <c r="S113" s="21" t="s">
        <v>344</v>
      </c>
      <c r="T113" s="6"/>
      <c r="U113" s="20"/>
      <c r="V113" s="28"/>
    </row>
    <row r="114" spans="1:27" s="13" customFormat="1" ht="15" x14ac:dyDescent="0.25">
      <c r="A114" s="20"/>
      <c r="B114" s="20" t="s">
        <v>331</v>
      </c>
      <c r="C114" s="20" t="s">
        <v>332</v>
      </c>
      <c r="D114" s="103"/>
      <c r="E114" s="133" t="e">
        <f>+G114-F114</f>
        <v>#REF!</v>
      </c>
      <c r="F114" s="133" t="e">
        <f>+#REF!</f>
        <v>#REF!</v>
      </c>
      <c r="G114" s="133">
        <v>42573</v>
      </c>
      <c r="H114" s="133"/>
      <c r="I114" s="133"/>
      <c r="J114" s="133"/>
      <c r="K114" s="133"/>
      <c r="L114" s="133"/>
      <c r="M114" s="133"/>
      <c r="N114" s="133"/>
      <c r="O114" s="159">
        <f>+G114</f>
        <v>42573</v>
      </c>
      <c r="P114" s="133"/>
      <c r="Q114" s="6">
        <v>0</v>
      </c>
      <c r="R114" s="6">
        <v>0</v>
      </c>
      <c r="S114" s="6">
        <v>0</v>
      </c>
      <c r="T114" s="2" t="e">
        <f>Q114+R114+S114-F114</f>
        <v>#REF!</v>
      </c>
      <c r="U114" s="20" t="s">
        <v>353</v>
      </c>
      <c r="V114" s="6">
        <v>0</v>
      </c>
    </row>
    <row r="115" spans="1:27" s="13" customFormat="1" ht="15" x14ac:dyDescent="0.25">
      <c r="A115" s="20"/>
      <c r="B115" s="20" t="s">
        <v>331</v>
      </c>
      <c r="C115" s="20" t="s">
        <v>354</v>
      </c>
      <c r="D115" s="103"/>
      <c r="E115" s="133" t="e">
        <f>+G115-F115</f>
        <v>#REF!</v>
      </c>
      <c r="F115" s="133" t="e">
        <f>+#REF!</f>
        <v>#REF!</v>
      </c>
      <c r="G115" s="133">
        <v>42820</v>
      </c>
      <c r="H115" s="133"/>
      <c r="I115" s="133"/>
      <c r="J115" s="133"/>
      <c r="K115" s="133"/>
      <c r="L115" s="133"/>
      <c r="M115" s="133"/>
      <c r="N115" s="133"/>
      <c r="O115" s="159">
        <f t="shared" ref="O115:O116" si="48">+G115</f>
        <v>42820</v>
      </c>
      <c r="P115" s="133"/>
      <c r="Q115" s="6">
        <v>0</v>
      </c>
      <c r="R115" s="6">
        <v>0</v>
      </c>
      <c r="S115" s="6">
        <v>0</v>
      </c>
      <c r="T115" s="2" t="e">
        <f>Q115+R115+S115-F115</f>
        <v>#REF!</v>
      </c>
      <c r="U115" s="20" t="s">
        <v>353</v>
      </c>
      <c r="V115" s="6">
        <v>0</v>
      </c>
    </row>
    <row r="116" spans="1:27" s="13" customFormat="1" ht="15.75" thickBot="1" x14ac:dyDescent="0.3">
      <c r="A116" s="20"/>
      <c r="B116" s="175" t="s">
        <v>300</v>
      </c>
      <c r="C116" s="20" t="s">
        <v>276</v>
      </c>
      <c r="D116" s="103"/>
      <c r="E116" s="133" t="e">
        <f>+G116-F116</f>
        <v>#REF!</v>
      </c>
      <c r="F116" s="133" t="e">
        <f>+#REF!</f>
        <v>#REF!</v>
      </c>
      <c r="G116" s="133">
        <f>225000-28715.52</f>
        <v>196284.48</v>
      </c>
      <c r="H116" s="133"/>
      <c r="I116" s="133"/>
      <c r="J116" s="133"/>
      <c r="K116" s="133"/>
      <c r="L116" s="133"/>
      <c r="M116" s="133"/>
      <c r="N116" s="133"/>
      <c r="O116" s="159">
        <f t="shared" si="48"/>
        <v>196284.48</v>
      </c>
      <c r="P116" s="133"/>
      <c r="Q116" s="193">
        <f>56000+28000</f>
        <v>84000</v>
      </c>
      <c r="R116" s="193">
        <v>56000</v>
      </c>
      <c r="S116" s="193">
        <v>56000</v>
      </c>
      <c r="T116" s="2" t="e">
        <f t="shared" ref="T116" si="49">Q116+R116+S116-F116</f>
        <v>#REF!</v>
      </c>
      <c r="U116" s="85" t="s">
        <v>355</v>
      </c>
      <c r="V116" s="6">
        <f>(Q116+R116+S116)-(O116)</f>
        <v>-284.48000000001048</v>
      </c>
    </row>
    <row r="117" spans="1:27" s="13" customFormat="1" ht="15.75" thickBot="1" x14ac:dyDescent="0.3">
      <c r="A117" s="20"/>
      <c r="B117" s="20"/>
      <c r="C117" s="20"/>
      <c r="D117" s="103"/>
      <c r="E117" s="160" t="e">
        <f>SUM(E114:E116)</f>
        <v>#REF!</v>
      </c>
      <c r="F117" s="160" t="e">
        <f t="shared" ref="F117:S117" si="50">SUM(F114:F116)</f>
        <v>#REF!</v>
      </c>
      <c r="G117" s="160">
        <f t="shared" si="50"/>
        <v>281677.48</v>
      </c>
      <c r="H117" s="160">
        <f t="shared" si="50"/>
        <v>0</v>
      </c>
      <c r="I117" s="160">
        <f t="shared" si="50"/>
        <v>0</v>
      </c>
      <c r="J117" s="160">
        <f t="shared" si="50"/>
        <v>0</v>
      </c>
      <c r="K117" s="160">
        <f t="shared" si="50"/>
        <v>0</v>
      </c>
      <c r="L117" s="160">
        <f t="shared" si="50"/>
        <v>0</v>
      </c>
      <c r="M117" s="160">
        <f t="shared" si="50"/>
        <v>0</v>
      </c>
      <c r="N117" s="160">
        <f t="shared" si="50"/>
        <v>0</v>
      </c>
      <c r="O117" s="160">
        <f t="shared" si="50"/>
        <v>281677.48</v>
      </c>
      <c r="P117" s="160">
        <f t="shared" si="50"/>
        <v>0</v>
      </c>
      <c r="Q117" s="74">
        <f t="shared" si="50"/>
        <v>84000</v>
      </c>
      <c r="R117" s="74">
        <f t="shared" si="50"/>
        <v>56000</v>
      </c>
      <c r="S117" s="74">
        <f t="shared" si="50"/>
        <v>56000</v>
      </c>
      <c r="T117" s="74" t="e">
        <f>SUM(T114:T116)</f>
        <v>#REF!</v>
      </c>
      <c r="U117" s="26"/>
      <c r="V117" s="75">
        <f>SUM(V114:V116)</f>
        <v>-284.48000000001048</v>
      </c>
    </row>
    <row r="118" spans="1:27" s="13" customFormat="1" ht="15.75" thickBot="1" x14ac:dyDescent="0.3">
      <c r="A118" s="20"/>
      <c r="B118" s="94"/>
      <c r="C118" s="94"/>
      <c r="D118" s="161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54"/>
      <c r="R118" s="154"/>
      <c r="S118" s="154"/>
      <c r="T118" s="154"/>
      <c r="U118" s="94"/>
      <c r="V118" s="155"/>
    </row>
    <row r="119" spans="1:27" s="13" customFormat="1" ht="15.75" thickBot="1" x14ac:dyDescent="0.3">
      <c r="A119" s="95"/>
      <c r="B119" s="68"/>
      <c r="C119" s="69" t="s">
        <v>356</v>
      </c>
      <c r="D119" s="162"/>
      <c r="E119" s="163" t="e">
        <f>+E117+E109+E105</f>
        <v>#REF!</v>
      </c>
      <c r="F119" s="163" t="e">
        <f t="shared" ref="F119:V119" si="51">+F117+F109+F105</f>
        <v>#REF!</v>
      </c>
      <c r="G119" s="163">
        <f t="shared" si="51"/>
        <v>2051681.09</v>
      </c>
      <c r="H119" s="163">
        <f t="shared" si="51"/>
        <v>534065.20000000007</v>
      </c>
      <c r="I119" s="163">
        <f t="shared" si="51"/>
        <v>235702.00999999998</v>
      </c>
      <c r="J119" s="163">
        <f t="shared" si="51"/>
        <v>460000</v>
      </c>
      <c r="K119" s="163">
        <f t="shared" si="51"/>
        <v>43000</v>
      </c>
      <c r="L119" s="163">
        <f t="shared" si="51"/>
        <v>171588.76</v>
      </c>
      <c r="M119" s="163">
        <f t="shared" si="51"/>
        <v>158520.79</v>
      </c>
      <c r="N119" s="163">
        <f t="shared" si="51"/>
        <v>101924.01</v>
      </c>
      <c r="O119" s="163">
        <f t="shared" si="51"/>
        <v>281677.48</v>
      </c>
      <c r="P119" s="163">
        <f t="shared" si="51"/>
        <v>0</v>
      </c>
      <c r="Q119" s="164">
        <f t="shared" si="51"/>
        <v>1334000</v>
      </c>
      <c r="R119" s="164">
        <f t="shared" si="51"/>
        <v>627000</v>
      </c>
      <c r="S119" s="164">
        <f t="shared" si="51"/>
        <v>114000</v>
      </c>
      <c r="T119" s="163" t="e">
        <f t="shared" si="51"/>
        <v>#REF!</v>
      </c>
      <c r="U119" s="156"/>
      <c r="V119" s="165">
        <f t="shared" si="51"/>
        <v>34503.679999999986</v>
      </c>
    </row>
    <row r="120" spans="1:27" s="13" customFormat="1" ht="15" x14ac:dyDescent="0.25">
      <c r="A120" s="20"/>
      <c r="B120" s="77"/>
      <c r="C120" s="77"/>
      <c r="D120" s="166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9"/>
      <c r="R120" s="9"/>
      <c r="S120" s="9"/>
      <c r="T120" s="9"/>
      <c r="U120" s="77"/>
      <c r="V120" s="158"/>
    </row>
    <row r="121" spans="1:27" s="13" customFormat="1" ht="15" x14ac:dyDescent="0.25">
      <c r="A121" s="20"/>
      <c r="B121" s="20"/>
      <c r="C121" s="28"/>
      <c r="D121" s="28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6"/>
      <c r="R121" s="6"/>
      <c r="S121" s="6"/>
      <c r="T121" s="6"/>
      <c r="U121" s="20"/>
      <c r="V121" s="28"/>
    </row>
    <row r="122" spans="1:27" s="13" customFormat="1" ht="15" x14ac:dyDescent="0.25">
      <c r="A122" s="11"/>
      <c r="B122" s="11"/>
      <c r="C122" s="11"/>
      <c r="D122" s="11"/>
      <c r="E122" s="11"/>
      <c r="F122" s="11"/>
      <c r="G122" s="11"/>
      <c r="H122" s="12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7" s="13" customFormat="1" ht="15" x14ac:dyDescent="0.25">
      <c r="A123" s="11"/>
      <c r="B123" s="11"/>
      <c r="C123" s="11"/>
      <c r="D123" s="11"/>
      <c r="E123" s="11"/>
      <c r="F123" s="11"/>
      <c r="G123" s="11"/>
      <c r="H123" s="12"/>
      <c r="I123" s="11"/>
      <c r="J123" s="11"/>
      <c r="K123" s="11"/>
      <c r="L123" s="11"/>
      <c r="M123" s="11"/>
      <c r="N123" s="11"/>
      <c r="O123" s="11"/>
      <c r="P123" s="168" t="s">
        <v>268</v>
      </c>
      <c r="Q123" s="11"/>
      <c r="R123" s="11"/>
      <c r="S123" s="11"/>
      <c r="T123" s="11"/>
      <c r="U123" s="11"/>
      <c r="V123" s="11"/>
    </row>
    <row r="124" spans="1:27" s="13" customFormat="1" ht="15" x14ac:dyDescent="0.25">
      <c r="A124" s="11"/>
      <c r="B124" s="11"/>
      <c r="C124" s="11"/>
      <c r="D124" s="11"/>
      <c r="E124" s="11"/>
      <c r="F124" s="11"/>
      <c r="G124" s="11"/>
      <c r="H124" s="12"/>
      <c r="I124" s="11"/>
      <c r="J124" s="11"/>
      <c r="K124" s="11"/>
      <c r="L124" s="11"/>
      <c r="M124" s="11"/>
      <c r="N124" s="12"/>
      <c r="O124" s="11"/>
      <c r="P124" s="169" t="s">
        <v>357</v>
      </c>
      <c r="Q124" s="11"/>
      <c r="R124" s="11"/>
      <c r="S124" s="170"/>
      <c r="T124" s="12">
        <v>207000</v>
      </c>
      <c r="U124" s="11"/>
      <c r="V124" s="12"/>
    </row>
    <row r="125" spans="1:27" s="13" customFormat="1" ht="15" x14ac:dyDescent="0.25">
      <c r="A125" s="11"/>
      <c r="B125" s="11"/>
      <c r="C125" s="11"/>
      <c r="D125" s="76"/>
      <c r="E125" s="76"/>
      <c r="F125" s="76"/>
      <c r="G125" s="76"/>
      <c r="H125" s="171"/>
      <c r="I125" s="11"/>
      <c r="J125" s="11"/>
      <c r="K125" s="11"/>
      <c r="L125" s="11"/>
      <c r="M125" s="11"/>
      <c r="N125" s="11"/>
      <c r="O125" s="11"/>
      <c r="P125" s="169" t="s">
        <v>358</v>
      </c>
      <c r="Q125" s="11"/>
      <c r="R125" s="172"/>
      <c r="S125" s="170"/>
      <c r="T125" s="12">
        <v>257000</v>
      </c>
      <c r="U125" s="11"/>
      <c r="V125" s="12"/>
    </row>
    <row r="126" spans="1:27" s="13" customFormat="1" ht="15" x14ac:dyDescent="0.25">
      <c r="A126" s="11"/>
      <c r="B126" s="11"/>
      <c r="C126" s="11"/>
      <c r="D126" s="76"/>
      <c r="E126" s="76"/>
      <c r="F126" s="76"/>
      <c r="G126" s="76"/>
      <c r="H126" s="171"/>
      <c r="I126" s="11"/>
      <c r="J126" s="11"/>
      <c r="K126" s="11"/>
      <c r="L126" s="11"/>
      <c r="M126" s="11"/>
      <c r="N126" s="11"/>
      <c r="O126" s="11"/>
      <c r="P126" s="169" t="s">
        <v>359</v>
      </c>
      <c r="Q126" s="11"/>
      <c r="R126" s="172"/>
      <c r="S126" s="173"/>
      <c r="T126" s="12">
        <f>552000+87000</f>
        <v>639000</v>
      </c>
      <c r="U126" s="11"/>
      <c r="V126" s="12"/>
    </row>
    <row r="127" spans="1:27" s="13" customFormat="1" ht="15" x14ac:dyDescent="0.25">
      <c r="A127" s="11"/>
      <c r="B127" s="11"/>
      <c r="C127" s="11"/>
      <c r="D127" s="76"/>
      <c r="E127" s="76"/>
      <c r="F127" s="76"/>
      <c r="G127" s="76"/>
      <c r="H127" s="171"/>
      <c r="I127" s="11"/>
      <c r="J127" s="11"/>
      <c r="K127" s="11"/>
      <c r="L127" s="11"/>
      <c r="M127" s="11"/>
      <c r="N127" s="11"/>
      <c r="O127" s="11"/>
      <c r="P127" s="169" t="s">
        <v>360</v>
      </c>
      <c r="Q127" s="11"/>
      <c r="R127" s="172"/>
      <c r="S127" s="11"/>
      <c r="T127" s="12">
        <v>21000</v>
      </c>
      <c r="U127" s="11"/>
      <c r="V127" s="171"/>
    </row>
    <row r="128" spans="1:27" s="13" customFormat="1" ht="15" x14ac:dyDescent="0.25">
      <c r="A128" s="11"/>
      <c r="B128" s="11"/>
      <c r="C128" s="11"/>
      <c r="D128" s="11"/>
      <c r="E128" s="11"/>
      <c r="F128" s="11"/>
      <c r="G128" s="11"/>
      <c r="H128" s="12"/>
      <c r="I128" s="11"/>
      <c r="J128" s="11"/>
      <c r="K128" s="11"/>
      <c r="L128" s="11"/>
      <c r="M128" s="11"/>
      <c r="N128" s="11"/>
      <c r="O128" s="11"/>
      <c r="P128" s="172" t="s">
        <v>361</v>
      </c>
      <c r="Q128" s="11"/>
      <c r="R128" s="11"/>
      <c r="S128" s="11"/>
      <c r="T128" s="176">
        <f>212000+196000</f>
        <v>408000</v>
      </c>
      <c r="U128" s="12">
        <f>SUM(T124:T128,-Q119,-R119,-S119)</f>
        <v>-543000</v>
      </c>
      <c r="V128" s="11"/>
      <c r="W128" s="11"/>
      <c r="X128" s="11"/>
      <c r="Y128" s="11"/>
      <c r="Z128" s="11"/>
      <c r="AA128" s="11"/>
    </row>
    <row r="129" spans="1:22" s="13" customFormat="1" ht="15" x14ac:dyDescent="0.25">
      <c r="A129" s="11"/>
      <c r="B129" s="11"/>
      <c r="C129" s="76"/>
      <c r="D129" s="76"/>
      <c r="E129" s="76"/>
      <c r="F129" s="76"/>
      <c r="G129" s="76"/>
      <c r="H129" s="173"/>
      <c r="I129" s="173"/>
      <c r="J129" s="173"/>
      <c r="K129" s="173"/>
      <c r="L129" s="173"/>
      <c r="M129" s="173"/>
      <c r="N129" s="173"/>
      <c r="O129" s="11"/>
      <c r="P129" s="168" t="s">
        <v>310</v>
      </c>
      <c r="Q129" s="12">
        <f>+Q119</f>
        <v>1334000</v>
      </c>
      <c r="R129" s="12">
        <f>+R119</f>
        <v>627000</v>
      </c>
      <c r="S129" s="12">
        <f>+S119</f>
        <v>114000</v>
      </c>
      <c r="T129" s="171">
        <f>SUM(Q129:S129)</f>
        <v>2075000</v>
      </c>
      <c r="U129" s="11"/>
      <c r="V129" s="12"/>
    </row>
    <row r="130" spans="1:22" ht="15" x14ac:dyDescent="0.25">
      <c r="S130" s="172" t="s">
        <v>277</v>
      </c>
      <c r="T130" s="12">
        <f>SUM(T124:T128,-T129)</f>
        <v>-543000</v>
      </c>
    </row>
    <row r="131" spans="1:22" ht="15" x14ac:dyDescent="0.25">
      <c r="T131" s="12"/>
    </row>
    <row r="132" spans="1:22" ht="15" x14ac:dyDescent="0.25">
      <c r="P132" s="168" t="s">
        <v>362</v>
      </c>
      <c r="T132" s="12"/>
    </row>
    <row r="133" spans="1:22" ht="15" x14ac:dyDescent="0.25">
      <c r="P133" s="172" t="s">
        <v>363</v>
      </c>
      <c r="T133" s="12">
        <f>+H119+I119+J119+K119+L119+M119+N119+O119+P119-T134</f>
        <v>1895717.05</v>
      </c>
    </row>
    <row r="134" spans="1:22" ht="15" x14ac:dyDescent="0.25">
      <c r="P134" s="172" t="s">
        <v>273</v>
      </c>
      <c r="T134" s="12">
        <f>+H11+H60+H94+O114+O115</f>
        <v>90761.2</v>
      </c>
    </row>
    <row r="135" spans="1:22" ht="15" x14ac:dyDescent="0.25">
      <c r="P135" s="168" t="s">
        <v>310</v>
      </c>
      <c r="T135" s="171">
        <f>SUM(T133:T134)</f>
        <v>1986478.25</v>
      </c>
    </row>
    <row r="136" spans="1:22" ht="15" x14ac:dyDescent="0.25">
      <c r="S136" s="172" t="s">
        <v>277</v>
      </c>
      <c r="T136" s="12">
        <f>+H119+I119+J119+K119+L119+M119+N119+O119+P119-T135</f>
        <v>0</v>
      </c>
    </row>
  </sheetData>
  <mergeCells count="7">
    <mergeCell ref="Q112:S112"/>
    <mergeCell ref="H3:N3"/>
    <mergeCell ref="Q3:S3"/>
    <mergeCell ref="Q26:S26"/>
    <mergeCell ref="Q51:S51"/>
    <mergeCell ref="Q89:S89"/>
    <mergeCell ref="Q107:S107"/>
  </mergeCells>
  <printOptions gridLines="1"/>
  <pageMargins left="0.74803149606299213" right="0.74803149606299213" top="0.98425196850393704" bottom="0.98425196850393704" header="0.51181102362204722" footer="0.51181102362204722"/>
  <pageSetup paperSize="8" scale="72" fitToHeight="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Income</vt:lpstr>
      <vt:lpstr>Allocations  2017-18</vt:lpstr>
      <vt:lpstr>'Allocations  2017-18'!Print_Area</vt:lpstr>
      <vt:lpstr>Income!Print_Area</vt:lpstr>
      <vt:lpstr>'Allocations  2017-18'!Print_Titles</vt:lpstr>
    </vt:vector>
  </TitlesOfParts>
  <Company>Ashfield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S106 Payments speadsheet</dc:title>
  <dc:creator>Administrator</dc:creator>
  <cp:lastModifiedBy>Sharon.Simcox</cp:lastModifiedBy>
  <cp:lastPrinted>2019-01-16T11:43:39Z</cp:lastPrinted>
  <dcterms:created xsi:type="dcterms:W3CDTF">2016-03-08T09:17:02Z</dcterms:created>
  <dcterms:modified xsi:type="dcterms:W3CDTF">2025-07-24T07:47:50Z</dcterms:modified>
</cp:coreProperties>
</file>